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ersten.Curti\Desktop\Work\Mackerel\2021.MT.Modeling\Run4\projections.rebuilding\Updated.Projections.March2022\PStar\"/>
    </mc:Choice>
  </mc:AlternateContent>
  <bookViews>
    <workbookView xWindow="0" yWindow="0" windowWidth="16180" windowHeight="7460"/>
  </bookViews>
  <sheets>
    <sheet name="Fmsy.CV150.2Stanza" sheetId="24" r:id="rId1"/>
    <sheet name="Frebuild.CV150.2Stanza" sheetId="25" r:id="rId2"/>
    <sheet name="New.Template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9" i="15" l="1"/>
  <c r="B235" i="15"/>
  <c r="B211" i="15"/>
  <c r="B187" i="15"/>
  <c r="B163" i="15"/>
  <c r="B139" i="15"/>
  <c r="B115" i="15"/>
  <c r="B91" i="15"/>
  <c r="B67" i="15"/>
  <c r="B43" i="15"/>
  <c r="B259" i="24" l="1"/>
  <c r="B235" i="24"/>
  <c r="B211" i="24"/>
  <c r="B187" i="24"/>
  <c r="B163" i="24"/>
  <c r="B139" i="24"/>
  <c r="B115" i="24"/>
  <c r="B91" i="24"/>
  <c r="B67" i="24"/>
  <c r="B43" i="24"/>
  <c r="B259" i="25"/>
  <c r="B235" i="25"/>
  <c r="B211" i="25"/>
  <c r="B187" i="25"/>
  <c r="B163" i="25"/>
  <c r="B139" i="25"/>
  <c r="B115" i="25"/>
  <c r="B91" i="25"/>
  <c r="B67" i="25"/>
  <c r="B43" i="25"/>
  <c r="F304" i="25" l="1"/>
  <c r="F303" i="25"/>
  <c r="F302" i="25"/>
  <c r="F301" i="25"/>
  <c r="F300" i="25"/>
  <c r="F299" i="25"/>
  <c r="F298" i="25"/>
  <c r="F297" i="25"/>
  <c r="F296" i="25"/>
  <c r="F295" i="25"/>
  <c r="F294" i="25"/>
  <c r="F293" i="25"/>
  <c r="F292" i="25"/>
  <c r="F291" i="25"/>
  <c r="F290" i="25"/>
  <c r="F289" i="25"/>
  <c r="F288" i="25"/>
  <c r="F287" i="25"/>
  <c r="F286" i="25"/>
  <c r="F285" i="25"/>
  <c r="C264" i="25"/>
  <c r="C265" i="25" s="1"/>
  <c r="C240" i="25"/>
  <c r="C241" i="25" s="1"/>
  <c r="C216" i="25"/>
  <c r="C217" i="25" s="1"/>
  <c r="C193" i="25"/>
  <c r="C192" i="25"/>
  <c r="C168" i="25"/>
  <c r="C169" i="25" s="1"/>
  <c r="C144" i="25"/>
  <c r="C145" i="25" s="1"/>
  <c r="C120" i="25"/>
  <c r="C121" i="25" s="1"/>
  <c r="C96" i="25"/>
  <c r="C97" i="25" s="1"/>
  <c r="C72" i="25"/>
  <c r="C73" i="25" s="1"/>
  <c r="C48" i="25"/>
  <c r="C49" i="25" s="1"/>
  <c r="A43" i="25"/>
  <c r="A67" i="25" s="1"/>
  <c r="H37" i="25"/>
  <c r="I37" i="25" s="1"/>
  <c r="G37" i="25"/>
  <c r="C37" i="25"/>
  <c r="H36" i="25"/>
  <c r="I36" i="25" s="1"/>
  <c r="G36" i="25"/>
  <c r="C36" i="25"/>
  <c r="H35" i="25"/>
  <c r="I35" i="25" s="1"/>
  <c r="G35" i="25"/>
  <c r="C35" i="25"/>
  <c r="H34" i="25"/>
  <c r="I34" i="25" s="1"/>
  <c r="G34" i="25"/>
  <c r="C34" i="25"/>
  <c r="H33" i="25"/>
  <c r="I33" i="25" s="1"/>
  <c r="G33" i="25"/>
  <c r="C33" i="25"/>
  <c r="H32" i="25"/>
  <c r="I32" i="25" s="1"/>
  <c r="G32" i="25"/>
  <c r="C32" i="25"/>
  <c r="H31" i="25"/>
  <c r="I31" i="25" s="1"/>
  <c r="G31" i="25"/>
  <c r="C31" i="25"/>
  <c r="H30" i="25"/>
  <c r="I30" i="25" s="1"/>
  <c r="G30" i="25"/>
  <c r="C30" i="25"/>
  <c r="H29" i="25"/>
  <c r="I29" i="25" s="1"/>
  <c r="G29" i="25"/>
  <c r="C29" i="25"/>
  <c r="H28" i="25"/>
  <c r="I28" i="25" s="1"/>
  <c r="G28" i="25"/>
  <c r="C28" i="25"/>
  <c r="H27" i="25"/>
  <c r="I27" i="25" s="1"/>
  <c r="G27" i="25"/>
  <c r="C27" i="25"/>
  <c r="H26" i="25"/>
  <c r="I26" i="25" s="1"/>
  <c r="G26" i="25"/>
  <c r="C26" i="25"/>
  <c r="H25" i="25"/>
  <c r="I25" i="25" s="1"/>
  <c r="G25" i="25"/>
  <c r="C25" i="25"/>
  <c r="A91" i="25" l="1"/>
  <c r="C70" i="25"/>
  <c r="D29" i="25" s="1"/>
  <c r="C69" i="25"/>
  <c r="C71" i="25" s="1"/>
  <c r="C74" i="25" s="1"/>
  <c r="C45" i="25"/>
  <c r="C47" i="25" s="1"/>
  <c r="C50" i="25" s="1"/>
  <c r="C46" i="25"/>
  <c r="D28" i="25" s="1"/>
  <c r="F304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C265" i="24"/>
  <c r="C264" i="24"/>
  <c r="C240" i="24"/>
  <c r="C241" i="24" s="1"/>
  <c r="C216" i="24"/>
  <c r="C217" i="24" s="1"/>
  <c r="C192" i="24"/>
  <c r="C193" i="24" s="1"/>
  <c r="C168" i="24"/>
  <c r="C169" i="24" s="1"/>
  <c r="C144" i="24"/>
  <c r="C145" i="24" s="1"/>
  <c r="C120" i="24"/>
  <c r="C121" i="24" s="1"/>
  <c r="C96" i="24"/>
  <c r="C97" i="24" s="1"/>
  <c r="C72" i="24"/>
  <c r="C73" i="24" s="1"/>
  <c r="C48" i="24"/>
  <c r="C49" i="24" s="1"/>
  <c r="A43" i="24"/>
  <c r="A67" i="24" s="1"/>
  <c r="H37" i="24"/>
  <c r="I37" i="24" s="1"/>
  <c r="G37" i="24"/>
  <c r="C37" i="24"/>
  <c r="H36" i="24"/>
  <c r="I36" i="24" s="1"/>
  <c r="G36" i="24"/>
  <c r="C36" i="24"/>
  <c r="H35" i="24"/>
  <c r="I35" i="24" s="1"/>
  <c r="G35" i="24"/>
  <c r="C35" i="24"/>
  <c r="H34" i="24"/>
  <c r="I34" i="24" s="1"/>
  <c r="G34" i="24"/>
  <c r="C34" i="24"/>
  <c r="H33" i="24"/>
  <c r="I33" i="24" s="1"/>
  <c r="G33" i="24"/>
  <c r="C33" i="24"/>
  <c r="H32" i="24"/>
  <c r="I32" i="24" s="1"/>
  <c r="G32" i="24"/>
  <c r="C32" i="24"/>
  <c r="H31" i="24"/>
  <c r="I31" i="24" s="1"/>
  <c r="G31" i="24"/>
  <c r="C31" i="24"/>
  <c r="H30" i="24"/>
  <c r="I30" i="24" s="1"/>
  <c r="G30" i="24"/>
  <c r="C30" i="24"/>
  <c r="H29" i="24"/>
  <c r="I29" i="24" s="1"/>
  <c r="G29" i="24"/>
  <c r="C29" i="24"/>
  <c r="H28" i="24"/>
  <c r="I28" i="24" s="1"/>
  <c r="G28" i="24"/>
  <c r="C28" i="24"/>
  <c r="H27" i="24"/>
  <c r="I27" i="24" s="1"/>
  <c r="G27" i="24"/>
  <c r="C27" i="24"/>
  <c r="H26" i="24"/>
  <c r="I26" i="24" s="1"/>
  <c r="G26" i="24"/>
  <c r="C26" i="24"/>
  <c r="H25" i="24"/>
  <c r="I25" i="24" s="1"/>
  <c r="G25" i="24"/>
  <c r="C25" i="24"/>
  <c r="C51" i="25" l="1"/>
  <c r="F28" i="25"/>
  <c r="C75" i="25"/>
  <c r="F29" i="25"/>
  <c r="A115" i="25"/>
  <c r="C94" i="25"/>
  <c r="D30" i="25" s="1"/>
  <c r="C93" i="25"/>
  <c r="C95" i="25" s="1"/>
  <c r="C98" i="25" s="1"/>
  <c r="A91" i="24"/>
  <c r="C70" i="24"/>
  <c r="D29" i="24" s="1"/>
  <c r="C69" i="24"/>
  <c r="C71" i="24" s="1"/>
  <c r="C74" i="24" s="1"/>
  <c r="C45" i="24"/>
  <c r="C47" i="24" s="1"/>
  <c r="C50" i="24" s="1"/>
  <c r="C46" i="24"/>
  <c r="D28" i="24" s="1"/>
  <c r="F304" i="15"/>
  <c r="F303" i="15"/>
  <c r="F302" i="15"/>
  <c r="F301" i="15"/>
  <c r="F300" i="15"/>
  <c r="F299" i="15"/>
  <c r="F298" i="15"/>
  <c r="F297" i="15"/>
  <c r="F296" i="15"/>
  <c r="F295" i="15"/>
  <c r="F294" i="15"/>
  <c r="C29" i="15"/>
  <c r="F293" i="15"/>
  <c r="F292" i="15"/>
  <c r="F291" i="15"/>
  <c r="F290" i="15"/>
  <c r="G29" i="15"/>
  <c r="G25" i="15"/>
  <c r="F289" i="15"/>
  <c r="F288" i="15"/>
  <c r="F287" i="15"/>
  <c r="F286" i="15"/>
  <c r="H30" i="15"/>
  <c r="I30" i="15" s="1"/>
  <c r="H29" i="15"/>
  <c r="I29" i="15" s="1"/>
  <c r="H25" i="15"/>
  <c r="I25" i="15" s="1"/>
  <c r="F285" i="15"/>
  <c r="C264" i="15"/>
  <c r="C265" i="15" s="1"/>
  <c r="C241" i="15"/>
  <c r="C240" i="15"/>
  <c r="C216" i="15"/>
  <c r="C217" i="15" s="1"/>
  <c r="C193" i="15"/>
  <c r="C192" i="15"/>
  <c r="C168" i="15"/>
  <c r="C169" i="15" s="1"/>
  <c r="C145" i="15"/>
  <c r="C144" i="15"/>
  <c r="C120" i="15"/>
  <c r="C121" i="15" s="1"/>
  <c r="C96" i="15"/>
  <c r="C97" i="15" s="1"/>
  <c r="C72" i="15"/>
  <c r="C73" i="15" s="1"/>
  <c r="C49" i="15"/>
  <c r="C48" i="15"/>
  <c r="A43" i="15"/>
  <c r="A67" i="15" s="1"/>
  <c r="H37" i="15"/>
  <c r="I37" i="15" s="1"/>
  <c r="G37" i="15"/>
  <c r="C37" i="15"/>
  <c r="H36" i="15"/>
  <c r="I36" i="15" s="1"/>
  <c r="G36" i="15"/>
  <c r="C36" i="15"/>
  <c r="H35" i="15"/>
  <c r="I35" i="15" s="1"/>
  <c r="G35" i="15"/>
  <c r="C35" i="15"/>
  <c r="H34" i="15"/>
  <c r="I34" i="15" s="1"/>
  <c r="G34" i="15"/>
  <c r="C34" i="15"/>
  <c r="H33" i="15"/>
  <c r="I33" i="15" s="1"/>
  <c r="G33" i="15"/>
  <c r="C33" i="15"/>
  <c r="H32" i="15"/>
  <c r="I32" i="15" s="1"/>
  <c r="G32" i="15"/>
  <c r="C32" i="15"/>
  <c r="H31" i="15"/>
  <c r="I31" i="15" s="1"/>
  <c r="G31" i="15"/>
  <c r="C31" i="15"/>
  <c r="G30" i="15"/>
  <c r="C30" i="15"/>
  <c r="H28" i="15"/>
  <c r="I28" i="15" s="1"/>
  <c r="G28" i="15"/>
  <c r="C28" i="15"/>
  <c r="H27" i="15"/>
  <c r="I27" i="15" s="1"/>
  <c r="G27" i="15"/>
  <c r="C27" i="15"/>
  <c r="H26" i="15"/>
  <c r="I26" i="15" s="1"/>
  <c r="G26" i="15"/>
  <c r="C26" i="15"/>
  <c r="C25" i="15"/>
  <c r="F30" i="25" l="1"/>
  <c r="C99" i="25"/>
  <c r="A139" i="25"/>
  <c r="C118" i="25"/>
  <c r="D31" i="25" s="1"/>
  <c r="C117" i="25"/>
  <c r="C119" i="25" s="1"/>
  <c r="C122" i="25" s="1"/>
  <c r="E29" i="25"/>
  <c r="C78" i="25"/>
  <c r="C76" i="25"/>
  <c r="C54" i="25"/>
  <c r="C52" i="25"/>
  <c r="E28" i="25"/>
  <c r="F28" i="24"/>
  <c r="C51" i="24"/>
  <c r="F29" i="24"/>
  <c r="C75" i="24"/>
  <c r="A115" i="24"/>
  <c r="C94" i="24"/>
  <c r="D30" i="24" s="1"/>
  <c r="C93" i="24"/>
  <c r="C95" i="24" s="1"/>
  <c r="C98" i="24" s="1"/>
  <c r="A91" i="15"/>
  <c r="C70" i="15"/>
  <c r="D29" i="15" s="1"/>
  <c r="C69" i="15"/>
  <c r="C71" i="15" s="1"/>
  <c r="C74" i="15" s="1"/>
  <c r="C45" i="15"/>
  <c r="C47" i="15" s="1"/>
  <c r="C50" i="15" s="1"/>
  <c r="C46" i="15"/>
  <c r="D28" i="15" s="1"/>
  <c r="F31" i="25" l="1"/>
  <c r="C123" i="25"/>
  <c r="A163" i="25"/>
  <c r="C142" i="25"/>
  <c r="D32" i="25" s="1"/>
  <c r="C141" i="25"/>
  <c r="C143" i="25" s="1"/>
  <c r="C146" i="25" s="1"/>
  <c r="E30" i="25"/>
  <c r="C102" i="25"/>
  <c r="C100" i="25"/>
  <c r="F30" i="24"/>
  <c r="C99" i="24"/>
  <c r="C76" i="24"/>
  <c r="E29" i="24"/>
  <c r="C78" i="24"/>
  <c r="A139" i="24"/>
  <c r="C118" i="24"/>
  <c r="D31" i="24" s="1"/>
  <c r="C117" i="24"/>
  <c r="C119" i="24" s="1"/>
  <c r="C122" i="24" s="1"/>
  <c r="E28" i="24"/>
  <c r="C54" i="24"/>
  <c r="C52" i="24"/>
  <c r="C51" i="15"/>
  <c r="F28" i="15"/>
  <c r="F29" i="15"/>
  <c r="C75" i="15"/>
  <c r="A115" i="15"/>
  <c r="C94" i="15"/>
  <c r="D30" i="15" s="1"/>
  <c r="C93" i="15"/>
  <c r="C95" i="15" s="1"/>
  <c r="C98" i="15" s="1"/>
  <c r="C147" i="25" l="1"/>
  <c r="F32" i="25"/>
  <c r="A187" i="25"/>
  <c r="C166" i="25"/>
  <c r="D33" i="25" s="1"/>
  <c r="C165" i="25"/>
  <c r="C167" i="25" s="1"/>
  <c r="C170" i="25" s="1"/>
  <c r="C126" i="25"/>
  <c r="C124" i="25"/>
  <c r="E31" i="25"/>
  <c r="A163" i="24"/>
  <c r="C142" i="24"/>
  <c r="D32" i="24" s="1"/>
  <c r="C141" i="24"/>
  <c r="C143" i="24" s="1"/>
  <c r="C146" i="24" s="1"/>
  <c r="F31" i="24"/>
  <c r="C123" i="24"/>
  <c r="E30" i="24"/>
  <c r="C102" i="24"/>
  <c r="C100" i="24"/>
  <c r="A139" i="15"/>
  <c r="C118" i="15"/>
  <c r="D31" i="15" s="1"/>
  <c r="C117" i="15"/>
  <c r="C119" i="15" s="1"/>
  <c r="C122" i="15" s="1"/>
  <c r="C76" i="15"/>
  <c r="E29" i="15"/>
  <c r="C78" i="15"/>
  <c r="F30" i="15"/>
  <c r="C99" i="15"/>
  <c r="E28" i="15"/>
  <c r="C54" i="15"/>
  <c r="C52" i="15"/>
  <c r="F33" i="25" l="1"/>
  <c r="C171" i="25"/>
  <c r="C189" i="25"/>
  <c r="C191" i="25" s="1"/>
  <c r="C194" i="25" s="1"/>
  <c r="A211" i="25"/>
  <c r="C190" i="25"/>
  <c r="D34" i="25" s="1"/>
  <c r="E32" i="25"/>
  <c r="C150" i="25"/>
  <c r="C148" i="25"/>
  <c r="C126" i="24"/>
  <c r="C124" i="24"/>
  <c r="E31" i="24"/>
  <c r="C147" i="24"/>
  <c r="F32" i="24"/>
  <c r="A187" i="24"/>
  <c r="C166" i="24"/>
  <c r="D33" i="24" s="1"/>
  <c r="C165" i="24"/>
  <c r="C167" i="24" s="1"/>
  <c r="C170" i="24" s="1"/>
  <c r="F31" i="15"/>
  <c r="C123" i="15"/>
  <c r="E30" i="15"/>
  <c r="C102" i="15"/>
  <c r="C100" i="15"/>
  <c r="A163" i="15"/>
  <c r="C142" i="15"/>
  <c r="D32" i="15" s="1"/>
  <c r="C141" i="15"/>
  <c r="C143" i="15" s="1"/>
  <c r="C146" i="15" s="1"/>
  <c r="C195" i="25" l="1"/>
  <c r="F34" i="25"/>
  <c r="A235" i="25"/>
  <c r="C214" i="25"/>
  <c r="D35" i="25" s="1"/>
  <c r="C213" i="25"/>
  <c r="C215" i="25" s="1"/>
  <c r="C218" i="25" s="1"/>
  <c r="C174" i="25"/>
  <c r="C172" i="25"/>
  <c r="E33" i="25"/>
  <c r="C189" i="24"/>
  <c r="C191" i="24" s="1"/>
  <c r="C194" i="24" s="1"/>
  <c r="A211" i="24"/>
  <c r="C190" i="24"/>
  <c r="D34" i="24" s="1"/>
  <c r="F33" i="24"/>
  <c r="C171" i="24"/>
  <c r="E32" i="24"/>
  <c r="C150" i="24"/>
  <c r="C148" i="24"/>
  <c r="C147" i="15"/>
  <c r="F32" i="15"/>
  <c r="A187" i="15"/>
  <c r="C166" i="15"/>
  <c r="D33" i="15" s="1"/>
  <c r="C165" i="15"/>
  <c r="C167" i="15" s="1"/>
  <c r="C170" i="15" s="1"/>
  <c r="C126" i="15"/>
  <c r="C124" i="15"/>
  <c r="E31" i="15"/>
  <c r="F35" i="25" l="1"/>
  <c r="C219" i="25"/>
  <c r="A259" i="25"/>
  <c r="C238" i="25"/>
  <c r="D36" i="25" s="1"/>
  <c r="C237" i="25"/>
  <c r="C239" i="25" s="1"/>
  <c r="C242" i="25" s="1"/>
  <c r="C198" i="25"/>
  <c r="C196" i="25"/>
  <c r="E34" i="25"/>
  <c r="A235" i="24"/>
  <c r="C214" i="24"/>
  <c r="D35" i="24" s="1"/>
  <c r="C213" i="24"/>
  <c r="C215" i="24" s="1"/>
  <c r="C218" i="24" s="1"/>
  <c r="C174" i="24"/>
  <c r="C172" i="24"/>
  <c r="E33" i="24"/>
  <c r="C195" i="24"/>
  <c r="F34" i="24"/>
  <c r="F33" i="15"/>
  <c r="C171" i="15"/>
  <c r="C189" i="15"/>
  <c r="C191" i="15" s="1"/>
  <c r="C194" i="15" s="1"/>
  <c r="A211" i="15"/>
  <c r="C190" i="15"/>
  <c r="D34" i="15" s="1"/>
  <c r="C150" i="15"/>
  <c r="E32" i="15"/>
  <c r="C148" i="15"/>
  <c r="C243" i="25" l="1"/>
  <c r="F36" i="25"/>
  <c r="A283" i="25"/>
  <c r="C285" i="25" s="1"/>
  <c r="C286" i="25" s="1"/>
  <c r="C262" i="25"/>
  <c r="D37" i="25" s="1"/>
  <c r="C261" i="25"/>
  <c r="C263" i="25" s="1"/>
  <c r="C266" i="25" s="1"/>
  <c r="C220" i="25"/>
  <c r="C222" i="25"/>
  <c r="E35" i="25"/>
  <c r="F35" i="24"/>
  <c r="C219" i="24"/>
  <c r="C198" i="24"/>
  <c r="C196" i="24"/>
  <c r="E34" i="24"/>
  <c r="A259" i="24"/>
  <c r="C238" i="24"/>
  <c r="D36" i="24" s="1"/>
  <c r="C237" i="24"/>
  <c r="C239" i="24" s="1"/>
  <c r="C242" i="24" s="1"/>
  <c r="C195" i="15"/>
  <c r="F34" i="15"/>
  <c r="C174" i="15"/>
  <c r="C172" i="15"/>
  <c r="E33" i="15"/>
  <c r="A235" i="15"/>
  <c r="C214" i="15"/>
  <c r="D35" i="15" s="1"/>
  <c r="C213" i="15"/>
  <c r="C215" i="15" s="1"/>
  <c r="C218" i="15" s="1"/>
  <c r="C267" i="25" l="1"/>
  <c r="F37" i="25"/>
  <c r="C246" i="25"/>
  <c r="C244" i="25"/>
  <c r="E36" i="25"/>
  <c r="F36" i="24"/>
  <c r="C243" i="24"/>
  <c r="A283" i="24"/>
  <c r="C285" i="24" s="1"/>
  <c r="C286" i="24" s="1"/>
  <c r="C262" i="24"/>
  <c r="D37" i="24" s="1"/>
  <c r="C261" i="24"/>
  <c r="C263" i="24" s="1"/>
  <c r="C266" i="24" s="1"/>
  <c r="C222" i="24"/>
  <c r="E35" i="24"/>
  <c r="C220" i="24"/>
  <c r="A259" i="15"/>
  <c r="C238" i="15"/>
  <c r="D36" i="15" s="1"/>
  <c r="C237" i="15"/>
  <c r="C239" i="15" s="1"/>
  <c r="C242" i="15" s="1"/>
  <c r="F35" i="15"/>
  <c r="C219" i="15"/>
  <c r="C198" i="15"/>
  <c r="C196" i="15"/>
  <c r="E34" i="15"/>
  <c r="C268" i="25" l="1"/>
  <c r="E37" i="25"/>
  <c r="C270" i="25"/>
  <c r="F37" i="24"/>
  <c r="C267" i="24"/>
  <c r="E36" i="24"/>
  <c r="C246" i="24"/>
  <c r="C244" i="24"/>
  <c r="C222" i="15"/>
  <c r="C220" i="15"/>
  <c r="E35" i="15"/>
  <c r="C243" i="15"/>
  <c r="F36" i="15"/>
  <c r="A283" i="15"/>
  <c r="C285" i="15" s="1"/>
  <c r="C286" i="15" s="1"/>
  <c r="C262" i="15"/>
  <c r="D37" i="15" s="1"/>
  <c r="C261" i="15"/>
  <c r="C263" i="15" s="1"/>
  <c r="C266" i="15" s="1"/>
  <c r="C268" i="24" l="1"/>
  <c r="E37" i="24"/>
  <c r="C270" i="24"/>
  <c r="E36" i="15"/>
  <c r="C246" i="15"/>
  <c r="C244" i="15"/>
  <c r="F37" i="15"/>
  <c r="C267" i="15"/>
  <c r="C268" i="15" l="1"/>
  <c r="E37" i="15"/>
  <c r="C270" i="15"/>
</calcChain>
</file>

<file path=xl/comments1.xml><?xml version="1.0" encoding="utf-8"?>
<comments xmlns="http://schemas.openxmlformats.org/spreadsheetml/2006/main">
  <authors>
    <author>Kiersten.Curti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</commentList>
</comments>
</file>

<file path=xl/comments2.xml><?xml version="1.0" encoding="utf-8"?>
<comments xmlns="http://schemas.openxmlformats.org/spreadsheetml/2006/main">
  <authors>
    <author>Kiersten.Curti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</commentList>
</comments>
</file>

<file path=xl/comments3.xml><?xml version="1.0" encoding="utf-8"?>
<comments xmlns="http://schemas.openxmlformats.org/spreadsheetml/2006/main">
  <authors>
    <author>Kiersten.Curti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Kiersten.Curti:</t>
        </r>
        <r>
          <rPr>
            <sz val="9"/>
            <color indexed="81"/>
            <rFont val="Tahoma"/>
            <family val="2"/>
          </rPr>
          <t xml:space="preserve">
P* was not run for this year because interim catches were assumed</t>
        </r>
      </text>
    </comment>
  </commentList>
</comments>
</file>

<file path=xl/sharedStrings.xml><?xml version="1.0" encoding="utf-8"?>
<sst xmlns="http://schemas.openxmlformats.org/spreadsheetml/2006/main" count="1128" uniqueCount="37">
  <si>
    <t>Median</t>
  </si>
  <si>
    <t>SSB (mt)</t>
  </si>
  <si>
    <t>5th Percentile</t>
  </si>
  <si>
    <t>95th Percentile</t>
  </si>
  <si>
    <t>Recruitment (000s)</t>
  </si>
  <si>
    <t>January 1 biomass (mt)</t>
  </si>
  <si>
    <t>Catch (mt)</t>
  </si>
  <si>
    <t>ABC</t>
  </si>
  <si>
    <t>Reference points</t>
  </si>
  <si>
    <t>F</t>
  </si>
  <si>
    <t>SSB</t>
  </si>
  <si>
    <t>Assumed CV for P-star calculations</t>
  </si>
  <si>
    <t>CV</t>
  </si>
  <si>
    <t>Input OFL, B/Bmsy, and OFL CV to calculate the ABC</t>
  </si>
  <si>
    <t>OFL</t>
  </si>
  <si>
    <t>B/Bmsy</t>
  </si>
  <si>
    <t>sigma</t>
  </si>
  <si>
    <t>P*</t>
  </si>
  <si>
    <t>ABC/OFL</t>
  </si>
  <si>
    <t>2nd iteration</t>
  </si>
  <si>
    <t>Summary table</t>
  </si>
  <si>
    <t>Year</t>
  </si>
  <si>
    <t>ABC p*</t>
  </si>
  <si>
    <t>N/A</t>
  </si>
  <si>
    <t>Catch</t>
  </si>
  <si>
    <t>Interim catch years</t>
  </si>
  <si>
    <t>Total Catch</t>
  </si>
  <si>
    <t>75th Percentile</t>
  </si>
  <si>
    <t>Round ABC</t>
  </si>
  <si>
    <t>Frebuild</t>
  </si>
  <si>
    <t>Probability rebuilt in 2032</t>
  </si>
  <si>
    <r>
      <t xml:space="preserve">Short-term projections with </t>
    </r>
    <r>
      <rPr>
        <b/>
        <sz val="11"/>
        <color rgb="FFFF0000"/>
        <rFont val="Calibri"/>
        <family val="2"/>
        <scheme val="minor"/>
      </rPr>
      <t>150% CV</t>
    </r>
    <r>
      <rPr>
        <b/>
        <sz val="11"/>
        <rFont val="Calibri"/>
        <family val="2"/>
        <scheme val="minor"/>
      </rPr>
      <t>, Fref=</t>
    </r>
    <r>
      <rPr>
        <b/>
        <sz val="11"/>
        <color rgb="FFFF0000"/>
        <rFont val="Calibri"/>
        <family val="2"/>
        <scheme val="minor"/>
      </rPr>
      <t xml:space="preserve">Frebuild, </t>
    </r>
    <r>
      <rPr>
        <b/>
        <sz val="11"/>
        <rFont val="Calibri"/>
        <family val="2"/>
        <scheme val="minor"/>
      </rPr>
      <t xml:space="preserve">recruitment sampled from </t>
    </r>
    <r>
      <rPr>
        <b/>
        <sz val="11"/>
        <color rgb="FFFF0000"/>
        <rFont val="Calibri"/>
        <family val="2"/>
        <scheme val="minor"/>
      </rPr>
      <t>2-stanza empirical CDFs</t>
    </r>
  </si>
  <si>
    <t>F40%</t>
  </si>
  <si>
    <r>
      <t xml:space="preserve">Short-term projections with </t>
    </r>
    <r>
      <rPr>
        <b/>
        <sz val="11"/>
        <color rgb="FFFF0000"/>
        <rFont val="Calibri"/>
        <family val="2"/>
        <scheme val="minor"/>
      </rPr>
      <t xml:space="preserve">100% CV, </t>
    </r>
    <r>
      <rPr>
        <b/>
        <sz val="11"/>
        <rFont val="Calibri"/>
        <family val="2"/>
        <scheme val="minor"/>
      </rPr>
      <t xml:space="preserve">recruitment sampled from </t>
    </r>
    <r>
      <rPr>
        <b/>
        <sz val="11"/>
        <color rgb="FFFF0000"/>
        <rFont val="Calibri"/>
        <family val="2"/>
        <scheme val="minor"/>
      </rPr>
      <t>2009 onward</t>
    </r>
  </si>
  <si>
    <t xml:space="preserve"> </t>
  </si>
  <si>
    <r>
      <t xml:space="preserve">Short-term projections with </t>
    </r>
    <r>
      <rPr>
        <b/>
        <sz val="11"/>
        <color rgb="FFFF0000"/>
        <rFont val="Calibri"/>
        <family val="2"/>
        <scheme val="minor"/>
      </rPr>
      <t>150% CV</t>
    </r>
    <r>
      <rPr>
        <b/>
        <sz val="11"/>
        <rFont val="Calibri"/>
        <family val="2"/>
        <scheme val="minor"/>
      </rPr>
      <t>, Fref=</t>
    </r>
    <r>
      <rPr>
        <b/>
        <sz val="11"/>
        <color rgb="FFFF0000"/>
        <rFont val="Calibri"/>
        <family val="2"/>
        <scheme val="minor"/>
      </rPr>
      <t xml:space="preserve">Fmsy proxy, </t>
    </r>
    <r>
      <rPr>
        <b/>
        <sz val="11"/>
        <rFont val="Calibri"/>
        <family val="2"/>
        <scheme val="minor"/>
      </rPr>
      <t xml:space="preserve">recruitment sampled from </t>
    </r>
    <r>
      <rPr>
        <b/>
        <sz val="11"/>
        <color rgb="FFFF0000"/>
        <rFont val="Calibri"/>
        <family val="2"/>
        <scheme val="minor"/>
      </rPr>
      <t>2-stanza empirical CDFs</t>
    </r>
  </si>
  <si>
    <t>Fmsy proxy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</si>
</sst>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2" borderId="0" xfId="0" applyFill="1"/>
    <xf numFmtId="0" fontId="0" fillId="0" borderId="0" xfId="0" applyFont="1"/>
    <xf numFmtId="0" fontId="1" fillId="0" borderId="1" xfId="0" applyFont="1" applyBorder="1"/>
    <xf numFmtId="0" fontId="0" fillId="0" borderId="2" xfId="0" applyBorder="1" applyAlignment="1">
      <alignment horizontal="right"/>
    </xf>
    <xf numFmtId="0" fontId="0" fillId="0" borderId="5" xfId="0" applyFont="1" applyBorder="1"/>
    <xf numFmtId="0" fontId="0" fillId="0" borderId="6" xfId="0" applyBorder="1"/>
    <xf numFmtId="0" fontId="0" fillId="0" borderId="1" xfId="0" applyBorder="1"/>
    <xf numFmtId="0" fontId="0" fillId="0" borderId="3" xfId="0" applyBorder="1"/>
    <xf numFmtId="165" fontId="0" fillId="0" borderId="4" xfId="0" applyNumberFormat="1" applyBorder="1"/>
    <xf numFmtId="0" fontId="0" fillId="0" borderId="5" xfId="0" applyBorder="1"/>
    <xf numFmtId="165" fontId="0" fillId="0" borderId="6" xfId="0" applyNumberFormat="1" applyBorder="1"/>
    <xf numFmtId="0" fontId="0" fillId="0" borderId="7" xfId="0" applyBorder="1"/>
    <xf numFmtId="9" fontId="0" fillId="0" borderId="8" xfId="0" applyNumberFormat="1" applyBorder="1"/>
    <xf numFmtId="0" fontId="0" fillId="0" borderId="0" xfId="0" applyFill="1"/>
    <xf numFmtId="9" fontId="0" fillId="0" borderId="0" xfId="1" applyFont="1" applyFill="1"/>
    <xf numFmtId="0" fontId="0" fillId="3" borderId="0" xfId="0" applyFill="1"/>
    <xf numFmtId="9" fontId="0" fillId="0" borderId="0" xfId="0" applyNumberFormat="1" applyBorder="1"/>
    <xf numFmtId="165" fontId="0" fillId="0" borderId="0" xfId="0" applyNumberFormat="1" applyFill="1"/>
    <xf numFmtId="3" fontId="0" fillId="0" borderId="0" xfId="0" applyNumberFormat="1" applyFill="1"/>
    <xf numFmtId="164" fontId="0" fillId="0" borderId="0" xfId="0" applyNumberFormat="1" applyFill="1"/>
    <xf numFmtId="0" fontId="0" fillId="0" borderId="9" xfId="0" applyBorder="1"/>
    <xf numFmtId="0" fontId="0" fillId="0" borderId="10" xfId="0" applyBorder="1"/>
    <xf numFmtId="0" fontId="0" fillId="0" borderId="0" xfId="0" applyNumberFormat="1"/>
    <xf numFmtId="0" fontId="0" fillId="0" borderId="9" xfId="0" applyFill="1" applyBorder="1"/>
    <xf numFmtId="0" fontId="0" fillId="0" borderId="0" xfId="0" applyAlignment="1">
      <alignment wrapText="1"/>
    </xf>
    <xf numFmtId="0" fontId="1" fillId="2" borderId="0" xfId="0" applyFont="1" applyFill="1"/>
    <xf numFmtId="0" fontId="1" fillId="0" borderId="0" xfId="0" quotePrefix="1" applyFont="1" applyAlignment="1">
      <alignment horizontal="left"/>
    </xf>
    <xf numFmtId="0" fontId="0" fillId="2" borderId="0" xfId="0" applyFill="1" applyBorder="1"/>
    <xf numFmtId="0" fontId="0" fillId="0" borderId="10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4" borderId="0" xfId="0" applyFill="1"/>
    <xf numFmtId="0" fontId="0" fillId="0" borderId="11" xfId="0" applyBorder="1"/>
    <xf numFmtId="0" fontId="0" fillId="0" borderId="11" xfId="0" applyFill="1" applyBorder="1"/>
    <xf numFmtId="0" fontId="0" fillId="0" borderId="2" xfId="0" applyFill="1" applyBorder="1"/>
    <xf numFmtId="2" fontId="0" fillId="0" borderId="4" xfId="0" applyNumberFormat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quotePrefix="1" applyNumberFormat="1" applyFont="1" applyBorder="1" applyAlignment="1"/>
    <xf numFmtId="164" fontId="0" fillId="0" borderId="0" xfId="0" quotePrefix="1" applyNumberFormat="1" applyFont="1" applyBorder="1" applyAlignment="1"/>
    <xf numFmtId="3" fontId="0" fillId="0" borderId="0" xfId="0" quotePrefix="1" applyNumberFormat="1" applyFont="1" applyBorder="1" applyAlignment="1"/>
    <xf numFmtId="0" fontId="0" fillId="0" borderId="12" xfId="0" applyFill="1" applyBorder="1"/>
    <xf numFmtId="3" fontId="0" fillId="0" borderId="12" xfId="0" applyNumberFormat="1" applyFont="1" applyBorder="1" applyAlignment="1"/>
    <xf numFmtId="0" fontId="0" fillId="0" borderId="12" xfId="0" applyNumberFormat="1" applyFont="1" applyBorder="1" applyAlignment="1"/>
    <xf numFmtId="164" fontId="0" fillId="0" borderId="12" xfId="0" applyNumberFormat="1" applyFont="1" applyBorder="1" applyAlignment="1"/>
    <xf numFmtId="0" fontId="0" fillId="0" borderId="0" xfId="0" applyNumberFormat="1" applyFill="1"/>
    <xf numFmtId="3" fontId="0" fillId="0" borderId="0" xfId="0" applyNumberFormat="1" applyFont="1" applyBorder="1" applyAlignment="1"/>
    <xf numFmtId="0" fontId="0" fillId="0" borderId="0" xfId="0" applyNumberFormat="1" applyFont="1" applyBorder="1" applyAlignment="1"/>
    <xf numFmtId="164" fontId="0" fillId="0" borderId="0" xfId="0" applyNumberFormat="1" applyFont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3" xfId="0" applyFill="1" applyBorder="1"/>
    <xf numFmtId="2" fontId="0" fillId="0" borderId="4" xfId="0" applyNumberFormat="1" applyFill="1" applyBorder="1"/>
    <xf numFmtId="2" fontId="0" fillId="0" borderId="6" xfId="0" applyNumberFormat="1" applyBorder="1"/>
    <xf numFmtId="0" fontId="8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7"/>
  <sheetViews>
    <sheetView tabSelected="1" zoomScale="110" zoomScaleNormal="110" workbookViewId="0"/>
  </sheetViews>
  <sheetFormatPr defaultRowHeight="14.5" x14ac:dyDescent="0.35"/>
  <cols>
    <col min="2" max="2" width="10.90625" customWidth="1"/>
    <col min="3" max="3" width="15" customWidth="1"/>
    <col min="5" max="5" width="9.1796875" customWidth="1"/>
    <col min="6" max="6" width="12.54296875" customWidth="1"/>
    <col min="7" max="8" width="10.1796875" style="22" customWidth="1"/>
  </cols>
  <sheetData>
    <row r="1" spans="1:8" x14ac:dyDescent="0.35">
      <c r="A1" s="1" t="s">
        <v>35</v>
      </c>
      <c r="B1" s="1"/>
    </row>
    <row r="2" spans="1:8" x14ac:dyDescent="0.35">
      <c r="A2" s="10" t="s">
        <v>34</v>
      </c>
      <c r="B2" s="1"/>
    </row>
    <row r="3" spans="1:8" x14ac:dyDescent="0.35">
      <c r="A3" s="2" t="s">
        <v>8</v>
      </c>
      <c r="B3" s="1"/>
    </row>
    <row r="4" spans="1:8" ht="15" thickBot="1" x14ac:dyDescent="0.4">
      <c r="A4" s="10"/>
      <c r="B4" s="1"/>
    </row>
    <row r="5" spans="1:8" x14ac:dyDescent="0.35">
      <c r="A5" s="10"/>
      <c r="B5" s="11" t="s">
        <v>36</v>
      </c>
      <c r="C5" s="12">
        <v>0.22</v>
      </c>
      <c r="E5" s="22"/>
      <c r="F5" s="22"/>
      <c r="G5"/>
      <c r="H5"/>
    </row>
    <row r="6" spans="1:8" ht="15" thickBot="1" x14ac:dyDescent="0.4">
      <c r="A6" s="10"/>
      <c r="B6" s="13" t="s">
        <v>10</v>
      </c>
      <c r="C6" s="14">
        <v>181090</v>
      </c>
      <c r="E6" s="22"/>
      <c r="F6" s="22"/>
      <c r="G6"/>
      <c r="H6"/>
    </row>
    <row r="7" spans="1:8" x14ac:dyDescent="0.35">
      <c r="A7" s="10"/>
      <c r="B7" s="10"/>
    </row>
    <row r="8" spans="1:8" x14ac:dyDescent="0.35">
      <c r="A8" s="10"/>
    </row>
    <row r="9" spans="1:8" x14ac:dyDescent="0.35">
      <c r="A9" s="2" t="s">
        <v>25</v>
      </c>
      <c r="B9" s="2"/>
    </row>
    <row r="10" spans="1:8" ht="15" thickBot="1" x14ac:dyDescent="0.4"/>
    <row r="11" spans="1:8" x14ac:dyDescent="0.35">
      <c r="B11" s="15"/>
      <c r="C11" s="12" t="s">
        <v>26</v>
      </c>
      <c r="E11" s="22"/>
      <c r="F11" s="22"/>
      <c r="G11"/>
      <c r="H11"/>
    </row>
    <row r="12" spans="1:8" x14ac:dyDescent="0.35">
      <c r="B12" s="16">
        <v>2020</v>
      </c>
      <c r="C12" s="17">
        <v>18013.599999999999</v>
      </c>
      <c r="D12" s="7"/>
      <c r="E12" s="26"/>
      <c r="F12" s="26"/>
      <c r="G12" s="7"/>
      <c r="H12"/>
    </row>
    <row r="13" spans="1:8" x14ac:dyDescent="0.35">
      <c r="B13" s="16">
        <v>2021</v>
      </c>
      <c r="C13" s="17">
        <v>12220.4</v>
      </c>
      <c r="D13" s="7"/>
      <c r="E13" s="26"/>
      <c r="F13" s="26"/>
      <c r="G13" s="7"/>
      <c r="H13"/>
    </row>
    <row r="14" spans="1:8" ht="15" thickBot="1" x14ac:dyDescent="0.4">
      <c r="B14" s="18">
        <v>2022</v>
      </c>
      <c r="C14" s="19">
        <v>12054.9</v>
      </c>
      <c r="D14" s="7"/>
      <c r="E14" s="26"/>
      <c r="F14" s="26"/>
      <c r="G14" s="7"/>
      <c r="H14"/>
    </row>
    <row r="15" spans="1:8" x14ac:dyDescent="0.35">
      <c r="B15" s="4"/>
    </row>
    <row r="17" spans="1:9" x14ac:dyDescent="0.35">
      <c r="A17" s="2" t="s">
        <v>11</v>
      </c>
    </row>
    <row r="18" spans="1:9" ht="15" thickBot="1" x14ac:dyDescent="0.4"/>
    <row r="19" spans="1:9" ht="15" thickBot="1" x14ac:dyDescent="0.4">
      <c r="B19" s="20" t="s">
        <v>12</v>
      </c>
      <c r="C19" s="21">
        <v>1.5</v>
      </c>
    </row>
    <row r="20" spans="1:9" x14ac:dyDescent="0.35">
      <c r="D20" s="8"/>
      <c r="E20" s="25"/>
    </row>
    <row r="22" spans="1:9" x14ac:dyDescent="0.35">
      <c r="A22" s="34" t="s">
        <v>20</v>
      </c>
      <c r="B22" s="9"/>
    </row>
    <row r="23" spans="1:9" ht="15" thickBot="1" x14ac:dyDescent="0.4"/>
    <row r="24" spans="1:9" x14ac:dyDescent="0.35">
      <c r="B24" s="15" t="s">
        <v>21</v>
      </c>
      <c r="C24" s="41" t="s">
        <v>24</v>
      </c>
      <c r="D24" s="41" t="s">
        <v>14</v>
      </c>
      <c r="E24" s="41" t="s">
        <v>7</v>
      </c>
      <c r="F24" s="41" t="s">
        <v>22</v>
      </c>
      <c r="G24" s="42" t="s">
        <v>9</v>
      </c>
      <c r="H24" s="42" t="s">
        <v>10</v>
      </c>
      <c r="I24" s="43" t="s">
        <v>15</v>
      </c>
    </row>
    <row r="25" spans="1:9" x14ac:dyDescent="0.35">
      <c r="B25" s="16">
        <v>2020</v>
      </c>
      <c r="C25" s="5">
        <f t="shared" ref="C25:C37" si="0">HLOOKUP($B25,$G$284:$S$293,10,FALSE)</f>
        <v>18014</v>
      </c>
      <c r="D25" s="5" t="s">
        <v>23</v>
      </c>
      <c r="E25" s="5" t="s">
        <v>23</v>
      </c>
      <c r="F25" s="5" t="s">
        <v>23</v>
      </c>
      <c r="G25" s="5">
        <f t="shared" ref="G25:G37" si="1">HLOOKUP($B25,$G$284:$S$289,6,FALSE)</f>
        <v>0.38</v>
      </c>
      <c r="H25" s="5">
        <f t="shared" ref="H25:H37" si="2">HLOOKUP($B25,$G$284:$S$285,2,FALSE)</f>
        <v>60294</v>
      </c>
      <c r="I25" s="44">
        <f>H25/$C$6</f>
        <v>0.33295046661880834</v>
      </c>
    </row>
    <row r="26" spans="1:9" x14ac:dyDescent="0.35">
      <c r="B26" s="16">
        <v>2021</v>
      </c>
      <c r="C26" s="5">
        <f t="shared" si="0"/>
        <v>12220</v>
      </c>
      <c r="D26" s="5" t="s">
        <v>23</v>
      </c>
      <c r="E26" s="5" t="s">
        <v>23</v>
      </c>
      <c r="F26" s="5" t="s">
        <v>23</v>
      </c>
      <c r="G26" s="5">
        <f t="shared" si="1"/>
        <v>0.23</v>
      </c>
      <c r="H26" s="5">
        <f t="shared" si="2"/>
        <v>63619</v>
      </c>
      <c r="I26" s="44">
        <f t="shared" ref="I26:I27" si="3">H26/$C$6</f>
        <v>0.35131150256778398</v>
      </c>
    </row>
    <row r="27" spans="1:9" x14ac:dyDescent="0.35">
      <c r="B27" s="16">
        <v>2022</v>
      </c>
      <c r="C27" s="5">
        <f t="shared" si="0"/>
        <v>12055</v>
      </c>
      <c r="D27" s="5" t="s">
        <v>23</v>
      </c>
      <c r="E27" s="5" t="s">
        <v>23</v>
      </c>
      <c r="F27" s="5" t="s">
        <v>23</v>
      </c>
      <c r="G27" s="5">
        <f t="shared" si="1"/>
        <v>0.21</v>
      </c>
      <c r="H27" s="5">
        <f t="shared" si="2"/>
        <v>70768</v>
      </c>
      <c r="I27" s="44">
        <f t="shared" si="3"/>
        <v>0.39078911038710035</v>
      </c>
    </row>
    <row r="28" spans="1:9" x14ac:dyDescent="0.35">
      <c r="B28" s="16">
        <v>2023</v>
      </c>
      <c r="C28" s="5">
        <f t="shared" si="0"/>
        <v>4539</v>
      </c>
      <c r="D28" s="45">
        <f>C46</f>
        <v>14289</v>
      </c>
      <c r="E28" s="45">
        <f>C51</f>
        <v>4538.5548175650292</v>
      </c>
      <c r="F28" s="46">
        <f>C50</f>
        <v>0.14539455519355016</v>
      </c>
      <c r="G28" s="5">
        <f t="shared" si="1"/>
        <v>7.0000000000000007E-2</v>
      </c>
      <c r="H28" s="5">
        <f t="shared" si="2"/>
        <v>82205</v>
      </c>
      <c r="I28" s="44">
        <f>H28/$C$6</f>
        <v>0.45394555193550168</v>
      </c>
    </row>
    <row r="29" spans="1:9" x14ac:dyDescent="0.35">
      <c r="B29" s="16">
        <v>2024</v>
      </c>
      <c r="C29" s="5">
        <f t="shared" si="0"/>
        <v>6207</v>
      </c>
      <c r="D29" s="47">
        <f>C70</f>
        <v>16979</v>
      </c>
      <c r="E29" s="8">
        <f>C75</f>
        <v>6206.5883091315827</v>
      </c>
      <c r="F29" s="48">
        <f>C74</f>
        <v>0.17697277596775085</v>
      </c>
      <c r="G29" s="5">
        <f t="shared" si="1"/>
        <v>0.08</v>
      </c>
      <c r="H29" s="5">
        <f t="shared" si="2"/>
        <v>96378</v>
      </c>
      <c r="I29" s="44">
        <f t="shared" ref="I29:I37" si="4">H29/$C$6</f>
        <v>0.53221050306477447</v>
      </c>
    </row>
    <row r="30" spans="1:9" x14ac:dyDescent="0.35">
      <c r="B30" s="16">
        <v>2025</v>
      </c>
      <c r="C30" s="5">
        <f t="shared" si="0"/>
        <v>8455</v>
      </c>
      <c r="D30" s="49">
        <f>C94</f>
        <v>19834</v>
      </c>
      <c r="E30" s="49">
        <f>C99</f>
        <v>8454.5549140511139</v>
      </c>
      <c r="F30" s="50">
        <f>C98</f>
        <v>0.21610525153238724</v>
      </c>
      <c r="G30" s="5">
        <f t="shared" si="1"/>
        <v>0.09</v>
      </c>
      <c r="H30" s="5">
        <f t="shared" si="2"/>
        <v>111512</v>
      </c>
      <c r="I30" s="44">
        <f t="shared" si="4"/>
        <v>0.61578220774200676</v>
      </c>
    </row>
    <row r="31" spans="1:9" x14ac:dyDescent="0.35">
      <c r="B31" s="16">
        <v>2026</v>
      </c>
      <c r="C31" s="5">
        <f t="shared" si="0"/>
        <v>11245</v>
      </c>
      <c r="D31" s="51">
        <f>C118</f>
        <v>22771</v>
      </c>
      <c r="E31" s="49">
        <f>C123</f>
        <v>11245.418735326733</v>
      </c>
      <c r="F31" s="50">
        <f>C122</f>
        <v>0.25789110387100339</v>
      </c>
      <c r="G31" s="5">
        <f t="shared" si="1"/>
        <v>0.1</v>
      </c>
      <c r="H31" s="5">
        <f t="shared" si="2"/>
        <v>126811</v>
      </c>
      <c r="I31" s="44">
        <f t="shared" si="4"/>
        <v>0.70026506157159418</v>
      </c>
    </row>
    <row r="32" spans="1:9" x14ac:dyDescent="0.35">
      <c r="B32" s="63">
        <v>2027</v>
      </c>
      <c r="C32" s="5">
        <f t="shared" si="0"/>
        <v>14558</v>
      </c>
      <c r="D32" s="60">
        <f>C142</f>
        <v>25715</v>
      </c>
      <c r="E32" s="61">
        <f>C147</f>
        <v>14558.401326013365</v>
      </c>
      <c r="F32" s="62">
        <f>C146</f>
        <v>0.3001325307857971</v>
      </c>
      <c r="G32" s="5">
        <f t="shared" si="1"/>
        <v>0.12</v>
      </c>
      <c r="H32" s="5">
        <f t="shared" si="2"/>
        <v>142214</v>
      </c>
      <c r="I32" s="64">
        <f t="shared" si="4"/>
        <v>0.78532221547296921</v>
      </c>
    </row>
    <row r="33" spans="1:19" x14ac:dyDescent="0.35">
      <c r="B33" s="16">
        <v>2028</v>
      </c>
      <c r="C33" s="5">
        <f t="shared" si="0"/>
        <v>18391</v>
      </c>
      <c r="D33" s="57">
        <f>C166</f>
        <v>28554</v>
      </c>
      <c r="E33" s="58">
        <f>C171</f>
        <v>18391.265439028666</v>
      </c>
      <c r="F33" s="59">
        <f>C170</f>
        <v>0.34266110773648462</v>
      </c>
      <c r="G33" s="5">
        <f t="shared" si="1"/>
        <v>0.14000000000000001</v>
      </c>
      <c r="H33" s="5">
        <f t="shared" si="2"/>
        <v>156433</v>
      </c>
      <c r="I33" s="44">
        <f t="shared" si="4"/>
        <v>0.86384118394168641</v>
      </c>
    </row>
    <row r="34" spans="1:19" x14ac:dyDescent="0.35">
      <c r="B34" s="16">
        <v>2029</v>
      </c>
      <c r="C34" s="5">
        <f t="shared" si="0"/>
        <v>22337</v>
      </c>
      <c r="D34" s="57">
        <f>C190</f>
        <v>30951</v>
      </c>
      <c r="E34" s="58">
        <f>C195</f>
        <v>22336.663984411902</v>
      </c>
      <c r="F34" s="59">
        <f>C194</f>
        <v>0.38192059197084322</v>
      </c>
      <c r="G34" s="5">
        <f t="shared" si="1"/>
        <v>0.15</v>
      </c>
      <c r="H34" s="5">
        <f t="shared" si="2"/>
        <v>168344</v>
      </c>
      <c r="I34" s="44">
        <f t="shared" si="4"/>
        <v>0.92961510850958085</v>
      </c>
    </row>
    <row r="35" spans="1:19" x14ac:dyDescent="0.35">
      <c r="B35" s="16">
        <v>2030</v>
      </c>
      <c r="C35" s="5">
        <f t="shared" si="0"/>
        <v>25981</v>
      </c>
      <c r="D35" s="57">
        <f>C214</f>
        <v>32819</v>
      </c>
      <c r="E35" s="58">
        <f>C219</f>
        <v>25981.351286372239</v>
      </c>
      <c r="F35" s="59">
        <f>C218</f>
        <v>0.41480755425479043</v>
      </c>
      <c r="G35" s="5">
        <f t="shared" si="1"/>
        <v>0.17</v>
      </c>
      <c r="H35" s="5">
        <f t="shared" si="2"/>
        <v>177517</v>
      </c>
      <c r="I35" s="44">
        <f t="shared" si="4"/>
        <v>0.98026947926445418</v>
      </c>
    </row>
    <row r="36" spans="1:19" x14ac:dyDescent="0.35">
      <c r="B36" s="16">
        <v>2031</v>
      </c>
      <c r="C36" s="5">
        <f t="shared" si="0"/>
        <v>29014</v>
      </c>
      <c r="D36" s="57">
        <f>C238</f>
        <v>34169</v>
      </c>
      <c r="E36" s="58">
        <f>C243</f>
        <v>29014.294168661858</v>
      </c>
      <c r="F36" s="59">
        <f>C242</f>
        <v>0.4401347396322271</v>
      </c>
      <c r="G36" s="5">
        <f t="shared" si="1"/>
        <v>0.18</v>
      </c>
      <c r="H36" s="5">
        <f t="shared" si="2"/>
        <v>183446</v>
      </c>
      <c r="I36" s="44">
        <f t="shared" si="4"/>
        <v>1.013010105472417</v>
      </c>
      <c r="K36" s="66" t="s">
        <v>30</v>
      </c>
      <c r="L36" s="9"/>
      <c r="M36" s="9"/>
    </row>
    <row r="37" spans="1:19" ht="15" thickBot="1" x14ac:dyDescent="0.4">
      <c r="B37" s="18">
        <v>2032</v>
      </c>
      <c r="C37" s="52">
        <f t="shared" si="0"/>
        <v>30564</v>
      </c>
      <c r="D37" s="53">
        <f>C262</f>
        <v>34932</v>
      </c>
      <c r="E37" s="54">
        <f>C267</f>
        <v>30564.290467677878</v>
      </c>
      <c r="F37" s="55">
        <f>C266</f>
        <v>0.45104080843779337</v>
      </c>
      <c r="G37" s="52">
        <f t="shared" si="1"/>
        <v>0.19</v>
      </c>
      <c r="H37" s="52">
        <f t="shared" si="2"/>
        <v>186886</v>
      </c>
      <c r="I37" s="65">
        <f t="shared" si="4"/>
        <v>1.0320061847700039</v>
      </c>
      <c r="K37">
        <v>0.51500000000000001</v>
      </c>
    </row>
    <row r="40" spans="1:19" x14ac:dyDescent="0.35">
      <c r="A40" t="s">
        <v>13</v>
      </c>
    </row>
    <row r="43" spans="1:19" x14ac:dyDescent="0.35">
      <c r="A43" s="1">
        <f>B14+1</f>
        <v>2023</v>
      </c>
      <c r="B43" t="str">
        <f>CONCATENATE("(F = ",$B$5," in ",A43," onward)")</f>
        <v>(F = Fmsy proxy in 2023 onward)</v>
      </c>
      <c r="F43" s="31"/>
      <c r="G43" s="27"/>
      <c r="H43" s="27"/>
    </row>
    <row r="44" spans="1:19" x14ac:dyDescent="0.35">
      <c r="B44" s="22"/>
      <c r="E44" s="30"/>
      <c r="F44" s="30"/>
      <c r="G44" s="30">
        <v>2020</v>
      </c>
      <c r="H44" s="30">
        <v>2021</v>
      </c>
      <c r="I44" s="30">
        <v>2022</v>
      </c>
      <c r="J44" s="30">
        <v>2023</v>
      </c>
      <c r="K44" s="30">
        <v>2024</v>
      </c>
      <c r="L44" s="30">
        <v>2025</v>
      </c>
      <c r="M44" s="30">
        <v>2026</v>
      </c>
      <c r="N44" s="30">
        <v>2027</v>
      </c>
      <c r="O44" s="30">
        <v>2028</v>
      </c>
      <c r="P44" s="30">
        <v>2029</v>
      </c>
      <c r="Q44" s="30">
        <v>2030</v>
      </c>
      <c r="R44" s="30">
        <v>2031</v>
      </c>
      <c r="S44" s="30">
        <v>2032</v>
      </c>
    </row>
    <row r="45" spans="1:19" x14ac:dyDescent="0.35">
      <c r="B45" t="s">
        <v>10</v>
      </c>
      <c r="C45" s="3">
        <f>HLOOKUP(($A43-1),G44:S45,2,FALSE)</f>
        <v>70768</v>
      </c>
      <c r="E45" s="8" t="s">
        <v>1</v>
      </c>
      <c r="F45" s="8" t="s">
        <v>0</v>
      </c>
      <c r="G45" s="8">
        <v>60294</v>
      </c>
      <c r="H45" s="5">
        <v>63619</v>
      </c>
      <c r="I45" s="36">
        <v>70768</v>
      </c>
      <c r="J45">
        <v>78154</v>
      </c>
      <c r="K45">
        <v>83236</v>
      </c>
      <c r="L45">
        <v>88766</v>
      </c>
      <c r="M45">
        <v>93833</v>
      </c>
      <c r="N45">
        <v>99566</v>
      </c>
      <c r="O45">
        <v>105730</v>
      </c>
      <c r="P45">
        <v>112170</v>
      </c>
      <c r="Q45">
        <v>118839</v>
      </c>
      <c r="R45">
        <v>125342</v>
      </c>
      <c r="S45">
        <v>131570</v>
      </c>
    </row>
    <row r="46" spans="1:19" x14ac:dyDescent="0.35">
      <c r="B46" t="s">
        <v>14</v>
      </c>
      <c r="C46" s="3">
        <f>HLOOKUP($A43,G44:S53,10,FALSE)</f>
        <v>14289</v>
      </c>
      <c r="E46" s="8"/>
      <c r="F46" s="8" t="s">
        <v>2</v>
      </c>
      <c r="G46" s="8">
        <v>25841</v>
      </c>
      <c r="H46" s="8">
        <v>24764</v>
      </c>
      <c r="I46" s="8">
        <v>29101</v>
      </c>
      <c r="J46">
        <v>35967</v>
      </c>
      <c r="K46">
        <v>44663</v>
      </c>
      <c r="L46">
        <v>51195</v>
      </c>
      <c r="M46">
        <v>55560</v>
      </c>
      <c r="N46">
        <v>58595</v>
      </c>
      <c r="O46">
        <v>60849</v>
      </c>
      <c r="P46">
        <v>62316</v>
      </c>
      <c r="Q46">
        <v>63666</v>
      </c>
      <c r="R46">
        <v>64693</v>
      </c>
      <c r="S46">
        <v>65902</v>
      </c>
    </row>
    <row r="47" spans="1:19" x14ac:dyDescent="0.35">
      <c r="B47" t="s">
        <v>15</v>
      </c>
      <c r="C47" s="22">
        <f>C45/$C$6</f>
        <v>0.39078911038710035</v>
      </c>
      <c r="E47" s="8"/>
      <c r="F47" s="8" t="s">
        <v>27</v>
      </c>
      <c r="G47" s="8">
        <v>80434</v>
      </c>
      <c r="H47" s="8">
        <v>86837</v>
      </c>
      <c r="I47" s="8">
        <v>95989</v>
      </c>
      <c r="J47">
        <v>105950</v>
      </c>
      <c r="K47">
        <v>113147</v>
      </c>
      <c r="L47">
        <v>122588</v>
      </c>
      <c r="M47">
        <v>132231</v>
      </c>
      <c r="N47">
        <v>143218</v>
      </c>
      <c r="O47">
        <v>155367</v>
      </c>
      <c r="P47">
        <v>166859</v>
      </c>
      <c r="Q47">
        <v>177484</v>
      </c>
      <c r="R47">
        <v>187760</v>
      </c>
      <c r="S47">
        <v>196378</v>
      </c>
    </row>
    <row r="48" spans="1:19" x14ac:dyDescent="0.35">
      <c r="B48" s="22" t="s">
        <v>12</v>
      </c>
      <c r="C48" s="23">
        <f>$C$19</f>
        <v>1.5</v>
      </c>
      <c r="E48" s="8"/>
      <c r="F48" s="8" t="s">
        <v>3</v>
      </c>
      <c r="G48" s="8">
        <v>119119</v>
      </c>
      <c r="H48" s="8">
        <v>136007</v>
      </c>
      <c r="I48" s="8">
        <v>161248</v>
      </c>
      <c r="J48">
        <v>187427</v>
      </c>
      <c r="K48">
        <v>213713</v>
      </c>
      <c r="L48">
        <v>250569</v>
      </c>
      <c r="M48">
        <v>273850</v>
      </c>
      <c r="N48">
        <v>288911</v>
      </c>
      <c r="O48">
        <v>303699</v>
      </c>
      <c r="P48">
        <v>316030</v>
      </c>
      <c r="Q48">
        <v>326985</v>
      </c>
      <c r="R48">
        <v>336494</v>
      </c>
      <c r="S48">
        <v>344097</v>
      </c>
    </row>
    <row r="49" spans="1:19" x14ac:dyDescent="0.35">
      <c r="B49" t="s">
        <v>16</v>
      </c>
      <c r="C49">
        <f>SQRT(LN(C48^2+1))</f>
        <v>1.085658784490618</v>
      </c>
      <c r="E49" s="29" t="s">
        <v>9</v>
      </c>
      <c r="F49" s="29" t="s">
        <v>0</v>
      </c>
      <c r="G49" s="29">
        <v>0.38</v>
      </c>
      <c r="H49" s="29">
        <v>0.23</v>
      </c>
      <c r="I49" s="29">
        <v>0.21</v>
      </c>
      <c r="J49" s="29">
        <v>0.22</v>
      </c>
      <c r="K49" s="29">
        <v>0.22</v>
      </c>
      <c r="L49" s="29">
        <v>0.22</v>
      </c>
      <c r="M49" s="29">
        <v>0.22</v>
      </c>
      <c r="N49" s="29">
        <v>0.22</v>
      </c>
      <c r="O49" s="29">
        <v>0.22</v>
      </c>
      <c r="P49" s="29">
        <v>0.22</v>
      </c>
      <c r="Q49" s="29">
        <v>0.22</v>
      </c>
      <c r="R49" s="29">
        <v>0.22</v>
      </c>
      <c r="S49" s="29">
        <v>0.22</v>
      </c>
    </row>
    <row r="50" spans="1:19" x14ac:dyDescent="0.35">
      <c r="A50" s="1"/>
      <c r="B50" t="s">
        <v>17</v>
      </c>
      <c r="C50" s="6">
        <f>IF(C47&gt;=1.5,0.49,IF(C47&lt;0.1,0,IF(C47&lt;1,-0.05+0.5*C47,0.08*(C47)+0.37)))</f>
        <v>0.14539455519355016</v>
      </c>
      <c r="E50" s="8"/>
      <c r="F50" s="8" t="s">
        <v>2</v>
      </c>
      <c r="G50" s="8">
        <v>0.19</v>
      </c>
      <c r="H50" s="8">
        <v>0.11</v>
      </c>
      <c r="I50" s="8">
        <v>0.09</v>
      </c>
      <c r="J50" s="8">
        <v>0.22</v>
      </c>
      <c r="K50" s="8">
        <v>0.22</v>
      </c>
      <c r="L50" s="8">
        <v>0.22</v>
      </c>
      <c r="M50" s="8">
        <v>0.22</v>
      </c>
      <c r="N50" s="8">
        <v>0.22</v>
      </c>
      <c r="O50" s="8">
        <v>0.22</v>
      </c>
      <c r="P50" s="8">
        <v>0.22</v>
      </c>
      <c r="Q50" s="8">
        <v>0.22</v>
      </c>
      <c r="R50" s="8">
        <v>0.22</v>
      </c>
      <c r="S50" s="8">
        <v>0.22</v>
      </c>
    </row>
    <row r="51" spans="1:19" x14ac:dyDescent="0.35">
      <c r="B51" s="1" t="s">
        <v>7</v>
      </c>
      <c r="C51" s="24">
        <f>_xlfn.LOGNORM.INV(C50,LN(C46),C49)</f>
        <v>4538.5548175650292</v>
      </c>
      <c r="E51" s="8"/>
      <c r="F51" s="8" t="s">
        <v>27</v>
      </c>
      <c r="G51" s="8">
        <v>0.51</v>
      </c>
      <c r="H51" s="8">
        <v>0.33</v>
      </c>
      <c r="I51" s="5">
        <v>0.28999999999999998</v>
      </c>
      <c r="J51" s="5">
        <v>0.22</v>
      </c>
      <c r="K51" s="8">
        <v>0.22</v>
      </c>
      <c r="L51" s="8">
        <v>0.22</v>
      </c>
      <c r="M51" s="8">
        <v>0.22</v>
      </c>
      <c r="N51" s="8">
        <v>0.22</v>
      </c>
      <c r="O51" s="8">
        <v>0.22</v>
      </c>
      <c r="P51" s="8">
        <v>0.22</v>
      </c>
      <c r="Q51" s="8">
        <v>0.22</v>
      </c>
      <c r="R51" s="8">
        <v>0.22</v>
      </c>
      <c r="S51" s="8">
        <v>0.22</v>
      </c>
    </row>
    <row r="52" spans="1:19" x14ac:dyDescent="0.35">
      <c r="B52" s="1" t="s">
        <v>18</v>
      </c>
      <c r="C52">
        <f>C51/C46</f>
        <v>0.31762578329939317</v>
      </c>
      <c r="E52" s="30"/>
      <c r="F52" s="30" t="s">
        <v>3</v>
      </c>
      <c r="G52" s="30">
        <v>0.89</v>
      </c>
      <c r="H52" s="30">
        <v>0.63</v>
      </c>
      <c r="I52" s="30">
        <v>0.54</v>
      </c>
      <c r="J52" s="30">
        <v>0.22</v>
      </c>
      <c r="K52" s="30">
        <v>0.22</v>
      </c>
      <c r="L52" s="30">
        <v>0.22</v>
      </c>
      <c r="M52" s="30">
        <v>0.22</v>
      </c>
      <c r="N52" s="30">
        <v>0.22</v>
      </c>
      <c r="O52" s="30">
        <v>0.22</v>
      </c>
      <c r="P52" s="30">
        <v>0.22</v>
      </c>
      <c r="Q52" s="30">
        <v>0.22</v>
      </c>
      <c r="R52" s="30">
        <v>0.22</v>
      </c>
      <c r="S52" s="30">
        <v>0.22</v>
      </c>
    </row>
    <row r="53" spans="1:19" x14ac:dyDescent="0.35">
      <c r="B53" s="22"/>
      <c r="E53" s="8" t="s">
        <v>6</v>
      </c>
      <c r="F53" s="8" t="s">
        <v>0</v>
      </c>
      <c r="G53" s="8">
        <v>18014</v>
      </c>
      <c r="H53" s="8">
        <v>12220</v>
      </c>
      <c r="I53" s="5">
        <v>12055</v>
      </c>
      <c r="J53" s="9">
        <v>14289</v>
      </c>
      <c r="K53">
        <v>15295</v>
      </c>
      <c r="L53">
        <v>16334</v>
      </c>
      <c r="M53">
        <v>17322</v>
      </c>
      <c r="N53">
        <v>18383</v>
      </c>
      <c r="O53">
        <v>19511</v>
      </c>
      <c r="P53">
        <v>20714</v>
      </c>
      <c r="Q53">
        <v>21954</v>
      </c>
      <c r="R53">
        <v>23202</v>
      </c>
      <c r="S53">
        <v>24363</v>
      </c>
    </row>
    <row r="54" spans="1:19" x14ac:dyDescent="0.35">
      <c r="B54" s="39" t="s">
        <v>28</v>
      </c>
      <c r="C54" s="40">
        <f>ROUND(C51,0)</f>
        <v>4539</v>
      </c>
      <c r="E54" s="8"/>
      <c r="F54" s="8" t="s">
        <v>2</v>
      </c>
      <c r="G54" s="8">
        <v>18014</v>
      </c>
      <c r="H54" s="8">
        <v>12220</v>
      </c>
      <c r="I54" s="8">
        <v>12055</v>
      </c>
      <c r="J54">
        <v>6279</v>
      </c>
      <c r="K54">
        <v>7921</v>
      </c>
      <c r="L54">
        <v>9285</v>
      </c>
      <c r="M54">
        <v>10225</v>
      </c>
      <c r="N54">
        <v>10911</v>
      </c>
      <c r="O54">
        <v>11382</v>
      </c>
      <c r="P54">
        <v>11737</v>
      </c>
      <c r="Q54">
        <v>12011</v>
      </c>
      <c r="R54">
        <v>12261</v>
      </c>
      <c r="S54">
        <v>12451</v>
      </c>
    </row>
    <row r="55" spans="1:19" x14ac:dyDescent="0.35">
      <c r="B55" s="5"/>
      <c r="E55" s="8"/>
      <c r="F55" s="8" t="s">
        <v>27</v>
      </c>
      <c r="G55" s="8">
        <v>18014</v>
      </c>
      <c r="H55" s="8">
        <v>12220</v>
      </c>
      <c r="I55" s="8">
        <v>12055</v>
      </c>
      <c r="J55">
        <v>19552</v>
      </c>
      <c r="K55">
        <v>20907</v>
      </c>
      <c r="L55">
        <v>22484</v>
      </c>
      <c r="M55">
        <v>24249</v>
      </c>
      <c r="N55">
        <v>26190</v>
      </c>
      <c r="O55">
        <v>28382</v>
      </c>
      <c r="P55">
        <v>30558</v>
      </c>
      <c r="Q55">
        <v>32629</v>
      </c>
      <c r="R55">
        <v>34587</v>
      </c>
      <c r="S55">
        <v>36263</v>
      </c>
    </row>
    <row r="56" spans="1:19" x14ac:dyDescent="0.35">
      <c r="B56" s="5"/>
      <c r="E56" s="8"/>
      <c r="F56" s="8" t="s">
        <v>3</v>
      </c>
      <c r="G56" s="8">
        <v>18014</v>
      </c>
      <c r="H56" s="8">
        <v>12220</v>
      </c>
      <c r="I56" s="8">
        <v>12055</v>
      </c>
      <c r="J56">
        <v>34272</v>
      </c>
      <c r="K56">
        <v>38301</v>
      </c>
      <c r="L56">
        <v>44065</v>
      </c>
      <c r="M56">
        <v>48836</v>
      </c>
      <c r="N56">
        <v>51894</v>
      </c>
      <c r="O56">
        <v>54743</v>
      </c>
      <c r="P56">
        <v>57187</v>
      </c>
      <c r="Q56">
        <v>59107</v>
      </c>
      <c r="R56">
        <v>60888</v>
      </c>
      <c r="S56">
        <v>62327</v>
      </c>
    </row>
    <row r="57" spans="1:19" x14ac:dyDescent="0.35">
      <c r="B57" s="5"/>
      <c r="E57" s="29" t="s">
        <v>4</v>
      </c>
      <c r="F57" s="29" t="s">
        <v>0</v>
      </c>
      <c r="G57" s="29">
        <v>131006</v>
      </c>
      <c r="H57" s="29">
        <v>131990</v>
      </c>
      <c r="I57" s="29">
        <v>133111</v>
      </c>
      <c r="J57" s="29">
        <v>134374</v>
      </c>
      <c r="K57" s="29">
        <v>135466</v>
      </c>
      <c r="L57" s="29">
        <v>137296</v>
      </c>
      <c r="M57" s="29">
        <v>139205</v>
      </c>
      <c r="N57" s="29">
        <v>141276</v>
      </c>
      <c r="O57" s="29">
        <v>142690</v>
      </c>
      <c r="P57" s="29">
        <v>145085</v>
      </c>
      <c r="Q57" s="29">
        <v>145816</v>
      </c>
      <c r="R57" s="29">
        <v>146140</v>
      </c>
      <c r="S57" s="29">
        <v>146413</v>
      </c>
    </row>
    <row r="58" spans="1:19" x14ac:dyDescent="0.35">
      <c r="B58" s="5"/>
      <c r="E58" s="8"/>
      <c r="F58" s="8" t="s">
        <v>2</v>
      </c>
      <c r="G58" s="8">
        <v>26674</v>
      </c>
      <c r="H58" s="8">
        <v>26748</v>
      </c>
      <c r="I58" s="8">
        <v>26796</v>
      </c>
      <c r="J58" s="8">
        <v>26909</v>
      </c>
      <c r="K58" s="8">
        <v>26988</v>
      </c>
      <c r="L58" s="8">
        <v>27125</v>
      </c>
      <c r="M58" s="8">
        <v>27215</v>
      </c>
      <c r="N58" s="8">
        <v>27295</v>
      </c>
      <c r="O58" s="8">
        <v>27487</v>
      </c>
      <c r="P58" s="8">
        <v>27867</v>
      </c>
      <c r="Q58" s="8">
        <v>28584</v>
      </c>
      <c r="R58" s="8">
        <v>28917</v>
      </c>
      <c r="S58" s="8">
        <v>29684</v>
      </c>
    </row>
    <row r="59" spans="1:19" x14ac:dyDescent="0.35">
      <c r="B59" s="22"/>
      <c r="E59" s="8"/>
      <c r="F59" s="8" t="s">
        <v>27</v>
      </c>
      <c r="G59" s="8">
        <v>151002</v>
      </c>
      <c r="H59" s="8">
        <v>155867</v>
      </c>
      <c r="I59" s="8">
        <v>163702</v>
      </c>
      <c r="J59" s="8">
        <v>170992</v>
      </c>
      <c r="K59" s="8">
        <v>173674</v>
      </c>
      <c r="L59" s="8">
        <v>179848</v>
      </c>
      <c r="M59" s="8">
        <v>184075</v>
      </c>
      <c r="N59" s="8">
        <v>192219</v>
      </c>
      <c r="O59" s="8">
        <v>196993</v>
      </c>
      <c r="P59" s="8">
        <v>199218</v>
      </c>
      <c r="Q59" s="8">
        <v>199909</v>
      </c>
      <c r="R59" s="8">
        <v>202973</v>
      </c>
      <c r="S59" s="8">
        <v>204967</v>
      </c>
    </row>
    <row r="60" spans="1:19" x14ac:dyDescent="0.35">
      <c r="B60" s="22"/>
      <c r="E60" s="30"/>
      <c r="F60" s="30" t="s">
        <v>3</v>
      </c>
      <c r="G60" s="30">
        <v>350002</v>
      </c>
      <c r="H60" s="30">
        <v>367731</v>
      </c>
      <c r="I60" s="30">
        <v>376041</v>
      </c>
      <c r="J60" s="30">
        <v>387344</v>
      </c>
      <c r="K60" s="30">
        <v>453641</v>
      </c>
      <c r="L60" s="30">
        <v>510611</v>
      </c>
      <c r="M60" s="30">
        <v>520725</v>
      </c>
      <c r="N60" s="30">
        <v>577277</v>
      </c>
      <c r="O60" s="30">
        <v>638654</v>
      </c>
      <c r="P60" s="30">
        <v>690227</v>
      </c>
      <c r="Q60" s="30">
        <v>722353</v>
      </c>
      <c r="R60" s="30">
        <v>754606</v>
      </c>
      <c r="S60" s="30">
        <v>798123</v>
      </c>
    </row>
    <row r="61" spans="1:19" x14ac:dyDescent="0.35">
      <c r="B61" s="22"/>
      <c r="E61" s="8" t="s">
        <v>5</v>
      </c>
      <c r="F61" s="8" t="s">
        <v>0</v>
      </c>
      <c r="G61" s="8">
        <v>84112</v>
      </c>
      <c r="H61" s="8">
        <v>86380</v>
      </c>
      <c r="I61" s="8">
        <v>94862</v>
      </c>
      <c r="J61">
        <v>103876</v>
      </c>
      <c r="K61">
        <v>110500</v>
      </c>
      <c r="L61">
        <v>117530</v>
      </c>
      <c r="M61">
        <v>124439</v>
      </c>
      <c r="N61">
        <v>131886</v>
      </c>
      <c r="O61">
        <v>140110</v>
      </c>
      <c r="P61">
        <v>148533</v>
      </c>
      <c r="Q61">
        <v>157336</v>
      </c>
      <c r="R61">
        <v>165947</v>
      </c>
      <c r="S61">
        <v>173904</v>
      </c>
    </row>
    <row r="62" spans="1:19" x14ac:dyDescent="0.35">
      <c r="B62" s="22"/>
      <c r="E62" s="8"/>
      <c r="F62" s="8" t="s">
        <v>2</v>
      </c>
      <c r="G62" s="8">
        <v>44855</v>
      </c>
      <c r="H62" s="8">
        <v>42751</v>
      </c>
      <c r="I62" s="8">
        <v>47284</v>
      </c>
      <c r="J62">
        <v>52079</v>
      </c>
      <c r="K62">
        <v>62047</v>
      </c>
      <c r="L62">
        <v>69531</v>
      </c>
      <c r="M62">
        <v>74632</v>
      </c>
      <c r="N62">
        <v>78454</v>
      </c>
      <c r="O62">
        <v>81105</v>
      </c>
      <c r="P62">
        <v>83175</v>
      </c>
      <c r="Q62">
        <v>84917</v>
      </c>
      <c r="R62">
        <v>86525</v>
      </c>
      <c r="S62">
        <v>87928</v>
      </c>
    </row>
    <row r="63" spans="1:19" x14ac:dyDescent="0.35">
      <c r="B63" s="22"/>
      <c r="E63" s="8"/>
      <c r="F63" s="8" t="s">
        <v>27</v>
      </c>
      <c r="G63" s="8">
        <v>107092</v>
      </c>
      <c r="H63" s="8">
        <v>112274</v>
      </c>
      <c r="I63" s="8">
        <v>124403</v>
      </c>
      <c r="J63">
        <v>139888</v>
      </c>
      <c r="K63">
        <v>150612</v>
      </c>
      <c r="L63">
        <v>162929</v>
      </c>
      <c r="M63">
        <v>176745</v>
      </c>
      <c r="N63">
        <v>192092</v>
      </c>
      <c r="O63">
        <v>208334</v>
      </c>
      <c r="P63">
        <v>223253</v>
      </c>
      <c r="Q63">
        <v>237973</v>
      </c>
      <c r="R63">
        <v>250596</v>
      </c>
      <c r="S63">
        <v>261163</v>
      </c>
    </row>
    <row r="64" spans="1:19" x14ac:dyDescent="0.35">
      <c r="B64" s="22"/>
      <c r="E64" s="30"/>
      <c r="F64" s="30" t="s">
        <v>3</v>
      </c>
      <c r="G64" s="30">
        <v>151237</v>
      </c>
      <c r="H64" s="30">
        <v>174970</v>
      </c>
      <c r="I64" s="30">
        <v>211649</v>
      </c>
      <c r="J64" s="30">
        <v>262223</v>
      </c>
      <c r="K64" s="30">
        <v>298323</v>
      </c>
      <c r="L64" s="30">
        <v>329890</v>
      </c>
      <c r="M64" s="30">
        <v>352188</v>
      </c>
      <c r="N64" s="30">
        <v>370329</v>
      </c>
      <c r="O64" s="30">
        <v>388103</v>
      </c>
      <c r="P64" s="30">
        <v>401230</v>
      </c>
      <c r="Q64" s="30">
        <v>414740</v>
      </c>
      <c r="R64" s="30">
        <v>425334</v>
      </c>
      <c r="S64" s="30">
        <v>434378</v>
      </c>
    </row>
    <row r="65" spans="1:19" x14ac:dyDescent="0.35">
      <c r="B65" s="22"/>
      <c r="E65" s="8"/>
      <c r="F65" s="8"/>
      <c r="G65" s="8"/>
      <c r="H65" s="8"/>
      <c r="I65" s="8"/>
    </row>
    <row r="66" spans="1:19" x14ac:dyDescent="0.35">
      <c r="B66" s="22"/>
      <c r="E66" s="8"/>
      <c r="F66" s="8"/>
      <c r="G66" s="8"/>
      <c r="H66" s="8"/>
      <c r="I66" s="8"/>
    </row>
    <row r="67" spans="1:19" x14ac:dyDescent="0.35">
      <c r="A67" s="1">
        <f>A43+1</f>
        <v>2024</v>
      </c>
      <c r="B67" t="str">
        <f>CONCATENATE("(F = ",$B$5," in ",A67," onward)")</f>
        <v>(F = Fmsy proxy in 2024 onward)</v>
      </c>
      <c r="F67" s="31"/>
      <c r="G67" s="27"/>
      <c r="H67" s="27"/>
    </row>
    <row r="68" spans="1:19" x14ac:dyDescent="0.35">
      <c r="B68" s="22"/>
      <c r="E68" s="30"/>
      <c r="F68" s="30"/>
      <c r="G68" s="30">
        <v>2020</v>
      </c>
      <c r="H68" s="30">
        <v>2021</v>
      </c>
      <c r="I68" s="30">
        <v>2022</v>
      </c>
      <c r="J68" s="30">
        <v>2023</v>
      </c>
      <c r="K68" s="30">
        <v>2024</v>
      </c>
      <c r="L68" s="30">
        <v>2025</v>
      </c>
      <c r="M68" s="30">
        <v>2026</v>
      </c>
      <c r="N68" s="30">
        <v>2027</v>
      </c>
      <c r="O68" s="30">
        <v>2028</v>
      </c>
      <c r="P68" s="30">
        <v>2029</v>
      </c>
      <c r="Q68" s="30">
        <v>2030</v>
      </c>
      <c r="R68" s="30">
        <v>2031</v>
      </c>
      <c r="S68" s="30">
        <v>2032</v>
      </c>
    </row>
    <row r="69" spans="1:19" x14ac:dyDescent="0.35">
      <c r="B69" t="s">
        <v>10</v>
      </c>
      <c r="C69" s="3">
        <f>HLOOKUP(($A67-1),G68:S69,2,FALSE)</f>
        <v>82205</v>
      </c>
      <c r="E69" s="8" t="s">
        <v>1</v>
      </c>
      <c r="F69" s="8" t="s">
        <v>0</v>
      </c>
      <c r="G69" s="8">
        <v>60294</v>
      </c>
      <c r="H69" s="5">
        <v>63619</v>
      </c>
      <c r="I69" s="5">
        <v>70768</v>
      </c>
      <c r="J69" s="9">
        <v>82205</v>
      </c>
      <c r="K69">
        <v>91879</v>
      </c>
      <c r="L69">
        <v>96730</v>
      </c>
      <c r="M69">
        <v>102176</v>
      </c>
      <c r="N69">
        <v>108258</v>
      </c>
      <c r="O69">
        <v>114602</v>
      </c>
      <c r="P69">
        <v>121026</v>
      </c>
      <c r="Q69">
        <v>127435</v>
      </c>
      <c r="R69">
        <v>133688</v>
      </c>
      <c r="S69">
        <v>139147</v>
      </c>
    </row>
    <row r="70" spans="1:19" x14ac:dyDescent="0.35">
      <c r="B70" t="s">
        <v>14</v>
      </c>
      <c r="C70" s="3">
        <f>HLOOKUP($A67,G68:S77,10,FALSE)</f>
        <v>16979</v>
      </c>
      <c r="E70" s="8"/>
      <c r="F70" s="8" t="s">
        <v>2</v>
      </c>
      <c r="G70" s="8">
        <v>25841</v>
      </c>
      <c r="H70" s="8">
        <v>24764</v>
      </c>
      <c r="I70" s="8">
        <v>29101</v>
      </c>
      <c r="J70">
        <v>36694</v>
      </c>
      <c r="K70">
        <v>46638</v>
      </c>
      <c r="L70">
        <v>53354</v>
      </c>
      <c r="M70">
        <v>57732</v>
      </c>
      <c r="N70">
        <v>60553</v>
      </c>
      <c r="O70">
        <v>62532</v>
      </c>
      <c r="P70">
        <v>63933</v>
      </c>
      <c r="Q70">
        <v>65196</v>
      </c>
      <c r="R70">
        <v>66155</v>
      </c>
      <c r="S70">
        <v>67300</v>
      </c>
    </row>
    <row r="71" spans="1:19" x14ac:dyDescent="0.35">
      <c r="B71" t="s">
        <v>15</v>
      </c>
      <c r="C71" s="22">
        <f>C69/$C$6</f>
        <v>0.45394555193550168</v>
      </c>
      <c r="E71" s="8"/>
      <c r="F71" s="8" t="s">
        <v>27</v>
      </c>
      <c r="G71" s="8">
        <v>80434</v>
      </c>
      <c r="H71" s="8">
        <v>86837</v>
      </c>
      <c r="I71" s="8">
        <v>95989</v>
      </c>
      <c r="J71">
        <v>112134</v>
      </c>
      <c r="K71">
        <v>126722</v>
      </c>
      <c r="L71">
        <v>135168</v>
      </c>
      <c r="M71">
        <v>145101</v>
      </c>
      <c r="N71">
        <v>156732</v>
      </c>
      <c r="O71">
        <v>168962</v>
      </c>
      <c r="P71">
        <v>180487</v>
      </c>
      <c r="Q71">
        <v>190152</v>
      </c>
      <c r="R71">
        <v>199007</v>
      </c>
      <c r="S71">
        <v>206136</v>
      </c>
    </row>
    <row r="72" spans="1:19" x14ac:dyDescent="0.35">
      <c r="B72" s="22" t="s">
        <v>12</v>
      </c>
      <c r="C72" s="23">
        <f>$C$19</f>
        <v>1.5</v>
      </c>
      <c r="E72" s="8"/>
      <c r="F72" s="8" t="s">
        <v>3</v>
      </c>
      <c r="G72" s="8">
        <v>119119</v>
      </c>
      <c r="H72" s="8">
        <v>136007</v>
      </c>
      <c r="I72" s="8">
        <v>161248</v>
      </c>
      <c r="J72">
        <v>199481</v>
      </c>
      <c r="K72">
        <v>239374</v>
      </c>
      <c r="L72">
        <v>272624</v>
      </c>
      <c r="M72">
        <v>291892</v>
      </c>
      <c r="N72">
        <v>305338</v>
      </c>
      <c r="O72">
        <v>318427</v>
      </c>
      <c r="P72">
        <v>328800</v>
      </c>
      <c r="Q72">
        <v>337748</v>
      </c>
      <c r="R72">
        <v>345698</v>
      </c>
      <c r="S72">
        <v>351562</v>
      </c>
    </row>
    <row r="73" spans="1:19" x14ac:dyDescent="0.35">
      <c r="B73" t="s">
        <v>16</v>
      </c>
      <c r="C73">
        <f>SQRT(LN(C72^2+1))</f>
        <v>1.085658784490618</v>
      </c>
      <c r="E73" s="29" t="s">
        <v>9</v>
      </c>
      <c r="F73" s="29" t="s">
        <v>0</v>
      </c>
      <c r="G73" s="29">
        <v>0.38</v>
      </c>
      <c r="H73" s="29">
        <v>0.23</v>
      </c>
      <c r="I73" s="29">
        <v>0.21</v>
      </c>
      <c r="J73" s="29">
        <v>7.0000000000000007E-2</v>
      </c>
      <c r="K73" s="29">
        <v>0.22</v>
      </c>
      <c r="L73" s="29">
        <v>0.22</v>
      </c>
      <c r="M73" s="29">
        <v>0.22</v>
      </c>
      <c r="N73" s="29">
        <v>0.22</v>
      </c>
      <c r="O73" s="29">
        <v>0.22</v>
      </c>
      <c r="P73" s="29">
        <v>0.22</v>
      </c>
      <c r="Q73" s="29">
        <v>0.22</v>
      </c>
      <c r="R73" s="29">
        <v>0.22</v>
      </c>
      <c r="S73" s="29">
        <v>0.22</v>
      </c>
    </row>
    <row r="74" spans="1:19" x14ac:dyDescent="0.35">
      <c r="A74" s="1"/>
      <c r="B74" t="s">
        <v>17</v>
      </c>
      <c r="C74" s="6">
        <f>IF(C71&gt;=1.5,0.49,IF(C71&lt;0.1,0,IF(C71&lt;1,-0.05+0.5*C71,0.08*(C71)+0.37)))</f>
        <v>0.17697277596775085</v>
      </c>
      <c r="E74" s="8"/>
      <c r="F74" s="8" t="s">
        <v>2</v>
      </c>
      <c r="G74" s="8">
        <v>0.19</v>
      </c>
      <c r="H74" s="8">
        <v>0.11</v>
      </c>
      <c r="I74" s="8">
        <v>0.09</v>
      </c>
      <c r="J74" s="8">
        <v>0.03</v>
      </c>
      <c r="K74" s="8">
        <v>0.22</v>
      </c>
      <c r="L74" s="8">
        <v>0.22</v>
      </c>
      <c r="M74" s="8">
        <v>0.22</v>
      </c>
      <c r="N74" s="8">
        <v>0.22</v>
      </c>
      <c r="O74" s="8">
        <v>0.22</v>
      </c>
      <c r="P74" s="8">
        <v>0.22</v>
      </c>
      <c r="Q74" s="8">
        <v>0.22</v>
      </c>
      <c r="R74" s="8">
        <v>0.22</v>
      </c>
      <c r="S74" s="8">
        <v>0.22</v>
      </c>
    </row>
    <row r="75" spans="1:19" x14ac:dyDescent="0.35">
      <c r="B75" s="1" t="s">
        <v>7</v>
      </c>
      <c r="C75" s="24">
        <f>_xlfn.LOGNORM.INV(C74,LN(C70),C73)</f>
        <v>6206.5883091315827</v>
      </c>
      <c r="E75" s="8"/>
      <c r="F75" s="8" t="s">
        <v>27</v>
      </c>
      <c r="G75" s="8">
        <v>0.51</v>
      </c>
      <c r="H75" s="8">
        <v>0.33</v>
      </c>
      <c r="I75" s="5">
        <v>0.28999999999999998</v>
      </c>
      <c r="J75" s="5">
        <v>0.09</v>
      </c>
      <c r="K75" s="8">
        <v>0.22</v>
      </c>
      <c r="L75" s="8">
        <v>0.22</v>
      </c>
      <c r="M75" s="8">
        <v>0.22</v>
      </c>
      <c r="N75" s="8">
        <v>0.22</v>
      </c>
      <c r="O75" s="8">
        <v>0.22</v>
      </c>
      <c r="P75" s="8">
        <v>0.22</v>
      </c>
      <c r="Q75" s="8">
        <v>0.22</v>
      </c>
      <c r="R75" s="8">
        <v>0.22</v>
      </c>
      <c r="S75" s="8">
        <v>0.22</v>
      </c>
    </row>
    <row r="76" spans="1:19" x14ac:dyDescent="0.35">
      <c r="B76" s="1" t="s">
        <v>18</v>
      </c>
      <c r="C76">
        <f>C75/C70</f>
        <v>0.36554498551926395</v>
      </c>
      <c r="E76" s="30"/>
      <c r="F76" s="30" t="s">
        <v>3</v>
      </c>
      <c r="G76" s="30">
        <v>0.89</v>
      </c>
      <c r="H76" s="30">
        <v>0.63</v>
      </c>
      <c r="I76" s="30">
        <v>0.54</v>
      </c>
      <c r="J76" s="30">
        <v>0.16</v>
      </c>
      <c r="K76" s="30">
        <v>0.22</v>
      </c>
      <c r="L76" s="30">
        <v>0.22</v>
      </c>
      <c r="M76" s="30">
        <v>0.22</v>
      </c>
      <c r="N76" s="30">
        <v>0.22</v>
      </c>
      <c r="O76" s="30">
        <v>0.22</v>
      </c>
      <c r="P76" s="30">
        <v>0.22</v>
      </c>
      <c r="Q76" s="30">
        <v>0.22</v>
      </c>
      <c r="R76" s="30">
        <v>0.22</v>
      </c>
      <c r="S76" s="30">
        <v>0.22</v>
      </c>
    </row>
    <row r="77" spans="1:19" x14ac:dyDescent="0.35">
      <c r="B77" s="22"/>
      <c r="E77" s="8" t="s">
        <v>6</v>
      </c>
      <c r="F77" s="8" t="s">
        <v>0</v>
      </c>
      <c r="G77" s="8">
        <v>18014</v>
      </c>
      <c r="H77" s="8">
        <v>12220</v>
      </c>
      <c r="I77" s="5">
        <v>12055</v>
      </c>
      <c r="J77" s="22">
        <v>4539</v>
      </c>
      <c r="K77" s="9">
        <v>16979</v>
      </c>
      <c r="L77">
        <v>17889</v>
      </c>
      <c r="M77">
        <v>18894</v>
      </c>
      <c r="N77">
        <v>20039</v>
      </c>
      <c r="O77">
        <v>21214</v>
      </c>
      <c r="P77">
        <v>22407</v>
      </c>
      <c r="Q77">
        <v>23617</v>
      </c>
      <c r="R77">
        <v>24792</v>
      </c>
      <c r="S77">
        <v>25826</v>
      </c>
    </row>
    <row r="78" spans="1:19" x14ac:dyDescent="0.35">
      <c r="B78" s="39" t="s">
        <v>28</v>
      </c>
      <c r="C78" s="40">
        <f>ROUND(C75,0)</f>
        <v>6207</v>
      </c>
      <c r="E78" s="8"/>
      <c r="F78" s="8" t="s">
        <v>2</v>
      </c>
      <c r="G78" s="8">
        <v>18014</v>
      </c>
      <c r="H78" s="8">
        <v>12220</v>
      </c>
      <c r="I78" s="8">
        <v>12055</v>
      </c>
      <c r="J78">
        <v>4539</v>
      </c>
      <c r="K78">
        <v>8260</v>
      </c>
      <c r="L78">
        <v>9663</v>
      </c>
      <c r="M78">
        <v>10604</v>
      </c>
      <c r="N78">
        <v>11266</v>
      </c>
      <c r="O78">
        <v>11714</v>
      </c>
      <c r="P78">
        <v>12027</v>
      </c>
      <c r="Q78">
        <v>12293</v>
      </c>
      <c r="R78">
        <v>12528</v>
      </c>
      <c r="S78">
        <v>12716</v>
      </c>
    </row>
    <row r="79" spans="1:19" x14ac:dyDescent="0.35">
      <c r="B79" s="5"/>
      <c r="E79" s="8"/>
      <c r="F79" s="8" t="s">
        <v>27</v>
      </c>
      <c r="G79" s="8">
        <v>18014</v>
      </c>
      <c r="H79" s="8">
        <v>12220</v>
      </c>
      <c r="I79" s="8">
        <v>12055</v>
      </c>
      <c r="J79">
        <v>4539</v>
      </c>
      <c r="K79">
        <v>23552</v>
      </c>
      <c r="L79">
        <v>24918</v>
      </c>
      <c r="M79">
        <v>26710</v>
      </c>
      <c r="N79">
        <v>28737</v>
      </c>
      <c r="O79">
        <v>30995</v>
      </c>
      <c r="P79">
        <v>33160</v>
      </c>
      <c r="Q79">
        <v>35066</v>
      </c>
      <c r="R79">
        <v>36736</v>
      </c>
      <c r="S79">
        <v>38138</v>
      </c>
    </row>
    <row r="80" spans="1:19" x14ac:dyDescent="0.35">
      <c r="B80" s="5"/>
      <c r="E80" s="8"/>
      <c r="F80" s="8" t="s">
        <v>3</v>
      </c>
      <c r="G80" s="8">
        <v>18014</v>
      </c>
      <c r="H80" s="8">
        <v>12220</v>
      </c>
      <c r="I80" s="8">
        <v>12055</v>
      </c>
      <c r="J80">
        <v>4539</v>
      </c>
      <c r="K80">
        <v>43172</v>
      </c>
      <c r="L80">
        <v>48133</v>
      </c>
      <c r="M80">
        <v>52446</v>
      </c>
      <c r="N80">
        <v>55209</v>
      </c>
      <c r="O80">
        <v>57590</v>
      </c>
      <c r="P80">
        <v>59711</v>
      </c>
      <c r="Q80">
        <v>61303</v>
      </c>
      <c r="R80">
        <v>62682</v>
      </c>
      <c r="S80">
        <v>63964</v>
      </c>
    </row>
    <row r="81" spans="1:19" x14ac:dyDescent="0.35">
      <c r="B81" s="5"/>
      <c r="E81" s="29" t="s">
        <v>4</v>
      </c>
      <c r="F81" s="29" t="s">
        <v>0</v>
      </c>
      <c r="G81" s="29">
        <v>131006</v>
      </c>
      <c r="H81" s="29">
        <v>131990</v>
      </c>
      <c r="I81" s="29">
        <v>133111</v>
      </c>
      <c r="J81" s="29">
        <v>135448</v>
      </c>
      <c r="K81" s="29">
        <v>138323</v>
      </c>
      <c r="L81" s="29">
        <v>140021</v>
      </c>
      <c r="M81" s="29">
        <v>141854</v>
      </c>
      <c r="N81" s="29">
        <v>143925</v>
      </c>
      <c r="O81" s="29">
        <v>145128</v>
      </c>
      <c r="P81" s="29">
        <v>145983</v>
      </c>
      <c r="Q81" s="29">
        <v>146295</v>
      </c>
      <c r="R81" s="29">
        <v>146602</v>
      </c>
      <c r="S81" s="29">
        <v>146864</v>
      </c>
    </row>
    <row r="82" spans="1:19" x14ac:dyDescent="0.35">
      <c r="B82" s="5"/>
      <c r="E82" s="8"/>
      <c r="F82" s="8" t="s">
        <v>2</v>
      </c>
      <c r="G82" s="8">
        <v>26674</v>
      </c>
      <c r="H82" s="8">
        <v>26748</v>
      </c>
      <c r="I82" s="8">
        <v>26796</v>
      </c>
      <c r="J82" s="8">
        <v>26979</v>
      </c>
      <c r="K82" s="8">
        <v>27180</v>
      </c>
      <c r="L82" s="8">
        <v>27323</v>
      </c>
      <c r="M82" s="8">
        <v>27402</v>
      </c>
      <c r="N82" s="8">
        <v>27477</v>
      </c>
      <c r="O82" s="8">
        <v>28160</v>
      </c>
      <c r="P82" s="8">
        <v>28695</v>
      </c>
      <c r="Q82" s="8">
        <v>29305</v>
      </c>
      <c r="R82" s="8">
        <v>29664</v>
      </c>
      <c r="S82" s="8">
        <v>30343</v>
      </c>
    </row>
    <row r="83" spans="1:19" x14ac:dyDescent="0.35">
      <c r="B83" s="22"/>
      <c r="E83" s="8"/>
      <c r="F83" s="8" t="s">
        <v>27</v>
      </c>
      <c r="G83" s="8">
        <v>151002</v>
      </c>
      <c r="H83" s="8">
        <v>155867</v>
      </c>
      <c r="I83" s="8">
        <v>163702</v>
      </c>
      <c r="J83" s="8">
        <v>173567</v>
      </c>
      <c r="K83" s="8">
        <v>182380</v>
      </c>
      <c r="L83" s="8">
        <v>188592</v>
      </c>
      <c r="M83" s="8">
        <v>194315</v>
      </c>
      <c r="N83" s="8">
        <v>198793</v>
      </c>
      <c r="O83" s="8">
        <v>199312</v>
      </c>
      <c r="P83" s="8">
        <v>201500</v>
      </c>
      <c r="Q83" s="8">
        <v>203660</v>
      </c>
      <c r="R83" s="8">
        <v>205993</v>
      </c>
      <c r="S83" s="8">
        <v>207645</v>
      </c>
    </row>
    <row r="84" spans="1:19" x14ac:dyDescent="0.35">
      <c r="B84" s="22"/>
      <c r="E84" s="30"/>
      <c r="F84" s="30" t="s">
        <v>3</v>
      </c>
      <c r="G84" s="30">
        <v>350002</v>
      </c>
      <c r="H84" s="30">
        <v>367731</v>
      </c>
      <c r="I84" s="30">
        <v>376041</v>
      </c>
      <c r="J84" s="30">
        <v>464582</v>
      </c>
      <c r="K84" s="30">
        <v>516172</v>
      </c>
      <c r="L84" s="30">
        <v>545768</v>
      </c>
      <c r="M84" s="30">
        <v>614801</v>
      </c>
      <c r="N84" s="30">
        <v>667499</v>
      </c>
      <c r="O84" s="30">
        <v>702559</v>
      </c>
      <c r="P84" s="30">
        <v>739148</v>
      </c>
      <c r="Q84" s="30">
        <v>769369</v>
      </c>
      <c r="R84" s="30">
        <v>826178</v>
      </c>
      <c r="S84" s="30">
        <v>850264</v>
      </c>
    </row>
    <row r="85" spans="1:19" x14ac:dyDescent="0.35">
      <c r="B85" s="22"/>
      <c r="E85" s="8" t="s">
        <v>5</v>
      </c>
      <c r="F85" s="8" t="s">
        <v>0</v>
      </c>
      <c r="G85" s="8">
        <v>84112</v>
      </c>
      <c r="H85" s="8">
        <v>86380</v>
      </c>
      <c r="I85" s="8">
        <v>94862</v>
      </c>
      <c r="J85">
        <v>103876</v>
      </c>
      <c r="K85">
        <v>120838</v>
      </c>
      <c r="L85">
        <v>128020</v>
      </c>
      <c r="M85">
        <v>135276</v>
      </c>
      <c r="N85">
        <v>143320</v>
      </c>
      <c r="O85">
        <v>151824</v>
      </c>
      <c r="P85">
        <v>160245</v>
      </c>
      <c r="Q85">
        <v>168886</v>
      </c>
      <c r="R85">
        <v>176567</v>
      </c>
      <c r="S85">
        <v>183574</v>
      </c>
    </row>
    <row r="86" spans="1:19" x14ac:dyDescent="0.35">
      <c r="B86" s="22"/>
      <c r="E86" s="8"/>
      <c r="F86" s="8" t="s">
        <v>2</v>
      </c>
      <c r="G86" s="8">
        <v>44855</v>
      </c>
      <c r="H86" s="8">
        <v>42751</v>
      </c>
      <c r="I86" s="8">
        <v>47284</v>
      </c>
      <c r="J86">
        <v>52079</v>
      </c>
      <c r="K86">
        <v>64646</v>
      </c>
      <c r="L86">
        <v>72277</v>
      </c>
      <c r="M86">
        <v>77233</v>
      </c>
      <c r="N86">
        <v>80884</v>
      </c>
      <c r="O86">
        <v>83335</v>
      </c>
      <c r="P86">
        <v>85200</v>
      </c>
      <c r="Q86">
        <v>86882</v>
      </c>
      <c r="R86">
        <v>88401</v>
      </c>
      <c r="S86">
        <v>89759</v>
      </c>
    </row>
    <row r="87" spans="1:19" x14ac:dyDescent="0.35">
      <c r="B87" s="22"/>
      <c r="E87" s="8"/>
      <c r="F87" s="8" t="s">
        <v>27</v>
      </c>
      <c r="G87" s="8">
        <v>107092</v>
      </c>
      <c r="H87" s="8">
        <v>112274</v>
      </c>
      <c r="I87" s="8">
        <v>124403</v>
      </c>
      <c r="J87">
        <v>139888</v>
      </c>
      <c r="K87">
        <v>168099</v>
      </c>
      <c r="L87">
        <v>181166</v>
      </c>
      <c r="M87">
        <v>195138</v>
      </c>
      <c r="N87">
        <v>210659</v>
      </c>
      <c r="O87">
        <v>227352</v>
      </c>
      <c r="P87">
        <v>241677</v>
      </c>
      <c r="Q87">
        <v>254336</v>
      </c>
      <c r="R87">
        <v>264667</v>
      </c>
      <c r="S87">
        <v>273085</v>
      </c>
    </row>
    <row r="88" spans="1:19" x14ac:dyDescent="0.35">
      <c r="B88" s="22"/>
      <c r="E88" s="30"/>
      <c r="F88" s="30" t="s">
        <v>3</v>
      </c>
      <c r="G88" s="30">
        <v>151237</v>
      </c>
      <c r="H88" s="30">
        <v>174970</v>
      </c>
      <c r="I88" s="30">
        <v>211649</v>
      </c>
      <c r="J88" s="30">
        <v>262223</v>
      </c>
      <c r="K88" s="30">
        <v>327457</v>
      </c>
      <c r="L88" s="30">
        <v>355052</v>
      </c>
      <c r="M88" s="30">
        <v>373872</v>
      </c>
      <c r="N88" s="30">
        <v>389972</v>
      </c>
      <c r="O88" s="30">
        <v>405463</v>
      </c>
      <c r="P88" s="30">
        <v>416572</v>
      </c>
      <c r="Q88" s="30">
        <v>427195</v>
      </c>
      <c r="R88" s="30">
        <v>435900</v>
      </c>
      <c r="S88" s="30">
        <v>443676</v>
      </c>
    </row>
    <row r="89" spans="1:19" x14ac:dyDescent="0.35">
      <c r="B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35">
      <c r="B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35">
      <c r="A91" s="1">
        <f>A67+1</f>
        <v>2025</v>
      </c>
      <c r="B91" t="str">
        <f>CONCATENATE("(F = ",$B$5," in ",A91," onward)")</f>
        <v>(F = Fmsy proxy in 2025 onward)</v>
      </c>
      <c r="F91" s="31"/>
      <c r="G91" s="27"/>
      <c r="H91" s="27"/>
    </row>
    <row r="92" spans="1:19" x14ac:dyDescent="0.35">
      <c r="B92" s="22"/>
      <c r="E92" s="30"/>
      <c r="F92" s="30"/>
      <c r="G92" s="30">
        <v>2020</v>
      </c>
      <c r="H92" s="30">
        <v>2021</v>
      </c>
      <c r="I92" s="30">
        <v>2022</v>
      </c>
      <c r="J92" s="30">
        <v>2023</v>
      </c>
      <c r="K92" s="30">
        <v>2024</v>
      </c>
      <c r="L92" s="30">
        <v>2025</v>
      </c>
      <c r="M92" s="30">
        <v>2026</v>
      </c>
      <c r="N92" s="30">
        <v>2027</v>
      </c>
      <c r="O92" s="30">
        <v>2028</v>
      </c>
      <c r="P92" s="30">
        <v>2029</v>
      </c>
      <c r="Q92" s="30">
        <v>2030</v>
      </c>
      <c r="R92" s="30">
        <v>2031</v>
      </c>
      <c r="S92" s="30">
        <v>2032</v>
      </c>
    </row>
    <row r="93" spans="1:19" x14ac:dyDescent="0.35">
      <c r="B93" t="s">
        <v>10</v>
      </c>
      <c r="C93" s="3">
        <f>HLOOKUP(($A91-1),G92:S93,2,FALSE)</f>
        <v>96378</v>
      </c>
      <c r="E93" s="8" t="s">
        <v>1</v>
      </c>
      <c r="F93" s="8" t="s">
        <v>0</v>
      </c>
      <c r="G93" s="8">
        <v>60294</v>
      </c>
      <c r="H93" s="5">
        <v>63619</v>
      </c>
      <c r="I93" s="5">
        <v>70768</v>
      </c>
      <c r="J93">
        <v>82205</v>
      </c>
      <c r="K93" s="9">
        <v>96378</v>
      </c>
      <c r="L93">
        <v>106768</v>
      </c>
      <c r="M93">
        <v>111609</v>
      </c>
      <c r="N93">
        <v>117810</v>
      </c>
      <c r="O93">
        <v>124004</v>
      </c>
      <c r="P93">
        <v>130223</v>
      </c>
      <c r="Q93">
        <v>136406</v>
      </c>
      <c r="R93">
        <v>141930</v>
      </c>
      <c r="S93">
        <v>146685</v>
      </c>
    </row>
    <row r="94" spans="1:19" x14ac:dyDescent="0.35">
      <c r="B94" t="s">
        <v>14</v>
      </c>
      <c r="C94" s="3">
        <f>HLOOKUP($A91,G92:S101,10,FALSE)</f>
        <v>19834</v>
      </c>
      <c r="E94" s="8"/>
      <c r="F94" s="8" t="s">
        <v>2</v>
      </c>
      <c r="G94" s="8">
        <v>25841</v>
      </c>
      <c r="H94" s="5">
        <v>24764</v>
      </c>
      <c r="I94" s="5">
        <v>29101</v>
      </c>
      <c r="J94">
        <v>36694</v>
      </c>
      <c r="K94">
        <v>47534</v>
      </c>
      <c r="L94">
        <v>55719</v>
      </c>
      <c r="M94">
        <v>60141</v>
      </c>
      <c r="N94">
        <v>62852</v>
      </c>
      <c r="O94">
        <v>64626</v>
      </c>
      <c r="P94">
        <v>65964</v>
      </c>
      <c r="Q94">
        <v>67084</v>
      </c>
      <c r="R94">
        <v>68040</v>
      </c>
      <c r="S94">
        <v>69061</v>
      </c>
    </row>
    <row r="95" spans="1:19" x14ac:dyDescent="0.35">
      <c r="B95" t="s">
        <v>15</v>
      </c>
      <c r="C95" s="22">
        <f>C93/$C$6</f>
        <v>0.53221050306477447</v>
      </c>
      <c r="E95" s="8"/>
      <c r="F95" s="8" t="s">
        <v>27</v>
      </c>
      <c r="G95" s="8">
        <v>80434</v>
      </c>
      <c r="H95" s="5">
        <v>86837</v>
      </c>
      <c r="I95" s="5">
        <v>95989</v>
      </c>
      <c r="J95">
        <v>112134</v>
      </c>
      <c r="K95">
        <v>133901</v>
      </c>
      <c r="L95">
        <v>150673</v>
      </c>
      <c r="M95">
        <v>158823</v>
      </c>
      <c r="N95">
        <v>170122</v>
      </c>
      <c r="O95">
        <v>182345</v>
      </c>
      <c r="P95">
        <v>193622</v>
      </c>
      <c r="Q95">
        <v>202026</v>
      </c>
      <c r="R95">
        <v>209459</v>
      </c>
      <c r="S95">
        <v>214972</v>
      </c>
    </row>
    <row r="96" spans="1:19" x14ac:dyDescent="0.35">
      <c r="B96" s="22" t="s">
        <v>12</v>
      </c>
      <c r="C96" s="23">
        <f>$C$19</f>
        <v>1.5</v>
      </c>
      <c r="E96" s="8"/>
      <c r="F96" s="8" t="s">
        <v>3</v>
      </c>
      <c r="G96" s="8">
        <v>119119</v>
      </c>
      <c r="H96" s="5">
        <v>136007</v>
      </c>
      <c r="I96" s="5">
        <v>161248</v>
      </c>
      <c r="J96">
        <v>199481</v>
      </c>
      <c r="K96">
        <v>254598</v>
      </c>
      <c r="L96">
        <v>304709</v>
      </c>
      <c r="M96">
        <v>317304</v>
      </c>
      <c r="N96">
        <v>324208</v>
      </c>
      <c r="O96">
        <v>332697</v>
      </c>
      <c r="P96">
        <v>340955</v>
      </c>
      <c r="Q96">
        <v>348041</v>
      </c>
      <c r="R96">
        <v>354186</v>
      </c>
      <c r="S96">
        <v>358877</v>
      </c>
    </row>
    <row r="97" spans="1:19" x14ac:dyDescent="0.35">
      <c r="B97" t="s">
        <v>16</v>
      </c>
      <c r="C97">
        <f>SQRT(LN(C96^2+1))</f>
        <v>1.085658784490618</v>
      </c>
      <c r="E97" s="29" t="s">
        <v>9</v>
      </c>
      <c r="F97" s="29" t="s">
        <v>0</v>
      </c>
      <c r="G97" s="29">
        <v>0.38</v>
      </c>
      <c r="H97" s="32">
        <v>0.23</v>
      </c>
      <c r="I97" s="32">
        <v>0.21</v>
      </c>
      <c r="J97" s="29">
        <v>7.0000000000000007E-2</v>
      </c>
      <c r="K97" s="29">
        <v>0.08</v>
      </c>
      <c r="L97" s="29">
        <v>0.22</v>
      </c>
      <c r="M97" s="29">
        <v>0.22</v>
      </c>
      <c r="N97" s="29">
        <v>0.22</v>
      </c>
      <c r="O97" s="29">
        <v>0.22</v>
      </c>
      <c r="P97" s="29">
        <v>0.22</v>
      </c>
      <c r="Q97" s="29">
        <v>0.22</v>
      </c>
      <c r="R97" s="29">
        <v>0.22</v>
      </c>
      <c r="S97" s="29">
        <v>0.22</v>
      </c>
    </row>
    <row r="98" spans="1:19" x14ac:dyDescent="0.35">
      <c r="A98" s="1"/>
      <c r="B98" t="s">
        <v>17</v>
      </c>
      <c r="C98" s="6">
        <f>IF(C95&gt;=1.5,0.49,IF(C95&lt;0.1,0,IF(C95&lt;1,-0.05+0.5*C95,0.08*(C95)+0.37)))</f>
        <v>0.21610525153238724</v>
      </c>
      <c r="E98" s="8"/>
      <c r="F98" s="8" t="s">
        <v>2</v>
      </c>
      <c r="G98" s="8">
        <v>0.19</v>
      </c>
      <c r="H98" s="5">
        <v>0.11</v>
      </c>
      <c r="I98" s="5">
        <v>0.09</v>
      </c>
      <c r="J98" s="8">
        <v>0.03</v>
      </c>
      <c r="K98" s="8">
        <v>0.03</v>
      </c>
      <c r="L98" s="8">
        <v>0.22</v>
      </c>
      <c r="M98" s="8">
        <v>0.22</v>
      </c>
      <c r="N98" s="8">
        <v>0.22</v>
      </c>
      <c r="O98" s="8">
        <v>0.22</v>
      </c>
      <c r="P98" s="8">
        <v>0.22</v>
      </c>
      <c r="Q98" s="8">
        <v>0.22</v>
      </c>
      <c r="R98" s="8">
        <v>0.22</v>
      </c>
      <c r="S98" s="8">
        <v>0.22</v>
      </c>
    </row>
    <row r="99" spans="1:19" x14ac:dyDescent="0.35">
      <c r="B99" s="1" t="s">
        <v>7</v>
      </c>
      <c r="C99" s="24">
        <f>_xlfn.LOGNORM.INV(C98,LN(C94),C97)</f>
        <v>8454.5549140511139</v>
      </c>
      <c r="E99" s="8"/>
      <c r="F99" s="8" t="s">
        <v>27</v>
      </c>
      <c r="G99" s="8">
        <v>0.51</v>
      </c>
      <c r="H99" s="5">
        <v>0.33</v>
      </c>
      <c r="I99" s="5">
        <v>0.28999999999999998</v>
      </c>
      <c r="J99" s="5">
        <v>0.09</v>
      </c>
      <c r="K99" s="8">
        <v>0.1</v>
      </c>
      <c r="L99" s="8">
        <v>0.22</v>
      </c>
      <c r="M99" s="8">
        <v>0.22</v>
      </c>
      <c r="N99" s="8">
        <v>0.22</v>
      </c>
      <c r="O99" s="8">
        <v>0.22</v>
      </c>
      <c r="P99" s="8">
        <v>0.22</v>
      </c>
      <c r="Q99" s="8">
        <v>0.22</v>
      </c>
      <c r="R99" s="8">
        <v>0.22</v>
      </c>
      <c r="S99" s="8">
        <v>0.22</v>
      </c>
    </row>
    <row r="100" spans="1:19" x14ac:dyDescent="0.35">
      <c r="B100" s="1" t="s">
        <v>18</v>
      </c>
      <c r="C100">
        <f>C99/C94</f>
        <v>0.42626575143950357</v>
      </c>
      <c r="E100" s="30"/>
      <c r="F100" s="30" t="s">
        <v>3</v>
      </c>
      <c r="G100" s="30">
        <v>0.89</v>
      </c>
      <c r="H100" s="37">
        <v>0.63</v>
      </c>
      <c r="I100" s="37">
        <v>0.54</v>
      </c>
      <c r="J100" s="30">
        <v>0.16</v>
      </c>
      <c r="K100" s="30">
        <v>0.16</v>
      </c>
      <c r="L100" s="30">
        <v>0.22</v>
      </c>
      <c r="M100" s="30">
        <v>0.22</v>
      </c>
      <c r="N100" s="30">
        <v>0.22</v>
      </c>
      <c r="O100" s="30">
        <v>0.22</v>
      </c>
      <c r="P100" s="30">
        <v>0.22</v>
      </c>
      <c r="Q100" s="30">
        <v>0.22</v>
      </c>
      <c r="R100" s="30">
        <v>0.22</v>
      </c>
      <c r="S100" s="30">
        <v>0.22</v>
      </c>
    </row>
    <row r="101" spans="1:19" x14ac:dyDescent="0.35">
      <c r="B101" s="22"/>
      <c r="E101" s="8" t="s">
        <v>6</v>
      </c>
      <c r="F101" s="8" t="s">
        <v>0</v>
      </c>
      <c r="G101" s="8">
        <v>18014</v>
      </c>
      <c r="H101" s="5">
        <v>12220</v>
      </c>
      <c r="I101" s="5">
        <v>12055</v>
      </c>
      <c r="J101">
        <v>4539</v>
      </c>
      <c r="K101">
        <v>6207</v>
      </c>
      <c r="L101" s="9">
        <v>19834</v>
      </c>
      <c r="M101">
        <v>20749</v>
      </c>
      <c r="N101">
        <v>21871</v>
      </c>
      <c r="O101">
        <v>23039</v>
      </c>
      <c r="P101">
        <v>24153</v>
      </c>
      <c r="Q101">
        <v>25302</v>
      </c>
      <c r="R101">
        <v>26383</v>
      </c>
      <c r="S101">
        <v>27268</v>
      </c>
    </row>
    <row r="102" spans="1:19" x14ac:dyDescent="0.35">
      <c r="B102" s="39" t="s">
        <v>28</v>
      </c>
      <c r="C102" s="40">
        <f>ROUND(C99,0)</f>
        <v>8455</v>
      </c>
      <c r="E102" s="8"/>
      <c r="F102" s="8" t="s">
        <v>2</v>
      </c>
      <c r="G102" s="8">
        <v>18014</v>
      </c>
      <c r="H102" s="5">
        <v>12220</v>
      </c>
      <c r="I102" s="5">
        <v>12055</v>
      </c>
      <c r="J102">
        <v>4539</v>
      </c>
      <c r="K102">
        <v>6207</v>
      </c>
      <c r="L102">
        <v>10069</v>
      </c>
      <c r="M102">
        <v>11020</v>
      </c>
      <c r="N102">
        <v>11672</v>
      </c>
      <c r="O102">
        <v>12102</v>
      </c>
      <c r="P102">
        <v>12397</v>
      </c>
      <c r="Q102">
        <v>12636</v>
      </c>
      <c r="R102">
        <v>12856</v>
      </c>
      <c r="S102">
        <v>13041</v>
      </c>
    </row>
    <row r="103" spans="1:19" x14ac:dyDescent="0.35">
      <c r="B103" s="5"/>
      <c r="E103" s="8"/>
      <c r="F103" s="8" t="s">
        <v>27</v>
      </c>
      <c r="G103" s="8">
        <v>18014</v>
      </c>
      <c r="H103" s="5">
        <v>12220</v>
      </c>
      <c r="I103" s="5">
        <v>12055</v>
      </c>
      <c r="J103">
        <v>4539</v>
      </c>
      <c r="K103">
        <v>6207</v>
      </c>
      <c r="L103">
        <v>27946</v>
      </c>
      <c r="M103">
        <v>29406</v>
      </c>
      <c r="N103">
        <v>31359</v>
      </c>
      <c r="O103">
        <v>33551</v>
      </c>
      <c r="P103">
        <v>35641</v>
      </c>
      <c r="Q103">
        <v>37375</v>
      </c>
      <c r="R103">
        <v>38796</v>
      </c>
      <c r="S103">
        <v>39916</v>
      </c>
    </row>
    <row r="104" spans="1:19" x14ac:dyDescent="0.35">
      <c r="B104" s="5"/>
      <c r="E104" s="8"/>
      <c r="F104" s="8" t="s">
        <v>3</v>
      </c>
      <c r="G104" s="8">
        <v>18014</v>
      </c>
      <c r="H104" s="8">
        <v>12220</v>
      </c>
      <c r="I104" s="8">
        <v>12055</v>
      </c>
      <c r="J104">
        <v>4539</v>
      </c>
      <c r="K104">
        <v>6207</v>
      </c>
      <c r="L104">
        <v>54341</v>
      </c>
      <c r="M104">
        <v>57500</v>
      </c>
      <c r="N104">
        <v>59048</v>
      </c>
      <c r="O104">
        <v>60649</v>
      </c>
      <c r="P104">
        <v>62118</v>
      </c>
      <c r="Q104">
        <v>63269</v>
      </c>
      <c r="R104">
        <v>64333</v>
      </c>
      <c r="S104">
        <v>65472</v>
      </c>
    </row>
    <row r="105" spans="1:19" x14ac:dyDescent="0.35">
      <c r="B105" s="5"/>
      <c r="E105" s="29" t="s">
        <v>4</v>
      </c>
      <c r="F105" s="29" t="s">
        <v>0</v>
      </c>
      <c r="G105" s="29">
        <v>131006</v>
      </c>
      <c r="H105" s="29">
        <v>131990</v>
      </c>
      <c r="I105" s="29">
        <v>133111</v>
      </c>
      <c r="J105" s="29">
        <v>135448</v>
      </c>
      <c r="K105" s="29">
        <v>139807</v>
      </c>
      <c r="L105" s="29">
        <v>143785</v>
      </c>
      <c r="M105" s="29">
        <v>145132</v>
      </c>
      <c r="N105" s="29">
        <v>145879</v>
      </c>
      <c r="O105" s="29">
        <v>146078</v>
      </c>
      <c r="P105" s="29">
        <v>146538</v>
      </c>
      <c r="Q105" s="29">
        <v>146869</v>
      </c>
      <c r="R105" s="29">
        <v>147133</v>
      </c>
      <c r="S105" s="29">
        <v>147754</v>
      </c>
    </row>
    <row r="106" spans="1:19" x14ac:dyDescent="0.35">
      <c r="B106" s="5"/>
      <c r="E106" s="8"/>
      <c r="F106" s="8" t="s">
        <v>2</v>
      </c>
      <c r="G106" s="8">
        <v>26674</v>
      </c>
      <c r="H106" s="8">
        <v>26748</v>
      </c>
      <c r="I106" s="8">
        <v>26796</v>
      </c>
      <c r="J106" s="8">
        <v>26979</v>
      </c>
      <c r="K106" s="8">
        <v>27290</v>
      </c>
      <c r="L106" s="8">
        <v>27697</v>
      </c>
      <c r="M106" s="8">
        <v>28037</v>
      </c>
      <c r="N106" s="8">
        <v>28344</v>
      </c>
      <c r="O106" s="8">
        <v>29125</v>
      </c>
      <c r="P106" s="8">
        <v>29558</v>
      </c>
      <c r="Q106" s="8">
        <v>30100</v>
      </c>
      <c r="R106" s="8">
        <v>30426</v>
      </c>
      <c r="S106" s="8">
        <v>30912</v>
      </c>
    </row>
    <row r="107" spans="1:19" x14ac:dyDescent="0.35">
      <c r="B107" s="22"/>
      <c r="E107" s="8"/>
      <c r="F107" s="8" t="s">
        <v>27</v>
      </c>
      <c r="G107" s="8">
        <v>151002</v>
      </c>
      <c r="H107" s="8">
        <v>155867</v>
      </c>
      <c r="I107" s="8">
        <v>163702</v>
      </c>
      <c r="J107" s="8">
        <v>173567</v>
      </c>
      <c r="K107" s="8">
        <v>187455</v>
      </c>
      <c r="L107" s="8">
        <v>198804</v>
      </c>
      <c r="M107" s="8">
        <v>199327</v>
      </c>
      <c r="N107" s="8">
        <v>200681</v>
      </c>
      <c r="O107" s="8">
        <v>202553</v>
      </c>
      <c r="P107" s="8">
        <v>205766</v>
      </c>
      <c r="Q107" s="8">
        <v>206984</v>
      </c>
      <c r="R107" s="8">
        <v>210443</v>
      </c>
      <c r="S107" s="8">
        <v>212530</v>
      </c>
    </row>
    <row r="108" spans="1:19" x14ac:dyDescent="0.35">
      <c r="B108" s="22"/>
      <c r="E108" s="30"/>
      <c r="F108" s="30" t="s">
        <v>3</v>
      </c>
      <c r="G108" s="30">
        <v>350002</v>
      </c>
      <c r="H108" s="30">
        <v>367731</v>
      </c>
      <c r="I108" s="30">
        <v>376041</v>
      </c>
      <c r="J108" s="30">
        <v>464582</v>
      </c>
      <c r="K108" s="30">
        <v>534608</v>
      </c>
      <c r="L108" s="30">
        <v>674311</v>
      </c>
      <c r="M108" s="30">
        <v>701797</v>
      </c>
      <c r="N108" s="30">
        <v>731818</v>
      </c>
      <c r="O108" s="30">
        <v>758505</v>
      </c>
      <c r="P108" s="30">
        <v>823643</v>
      </c>
      <c r="Q108" s="30">
        <v>837886</v>
      </c>
      <c r="R108" s="30">
        <v>884455</v>
      </c>
      <c r="S108" s="30">
        <v>899315</v>
      </c>
    </row>
    <row r="109" spans="1:19" x14ac:dyDescent="0.35">
      <c r="B109" s="22"/>
      <c r="E109" s="8" t="s">
        <v>5</v>
      </c>
      <c r="F109" s="8" t="s">
        <v>0</v>
      </c>
      <c r="G109" s="8">
        <v>84112</v>
      </c>
      <c r="H109" s="8">
        <v>86380</v>
      </c>
      <c r="I109" s="8">
        <v>94862</v>
      </c>
      <c r="J109">
        <v>103876</v>
      </c>
      <c r="K109">
        <v>120838</v>
      </c>
      <c r="L109">
        <v>140397</v>
      </c>
      <c r="M109">
        <v>148175</v>
      </c>
      <c r="N109">
        <v>156303</v>
      </c>
      <c r="O109">
        <v>164494</v>
      </c>
      <c r="P109">
        <v>172522</v>
      </c>
      <c r="Q109">
        <v>180356</v>
      </c>
      <c r="R109">
        <v>187310</v>
      </c>
      <c r="S109">
        <v>193129</v>
      </c>
    </row>
    <row r="110" spans="1:19" x14ac:dyDescent="0.35">
      <c r="B110" s="22"/>
      <c r="E110" s="8"/>
      <c r="F110" s="8" t="s">
        <v>2</v>
      </c>
      <c r="G110" s="8">
        <v>44855</v>
      </c>
      <c r="H110" s="8">
        <v>42751</v>
      </c>
      <c r="I110" s="8">
        <v>47284</v>
      </c>
      <c r="J110">
        <v>52079</v>
      </c>
      <c r="K110">
        <v>64646</v>
      </c>
      <c r="L110">
        <v>75245</v>
      </c>
      <c r="M110">
        <v>80316</v>
      </c>
      <c r="N110">
        <v>83728</v>
      </c>
      <c r="O110">
        <v>85981</v>
      </c>
      <c r="P110">
        <v>87739</v>
      </c>
      <c r="Q110">
        <v>89355</v>
      </c>
      <c r="R110">
        <v>90820</v>
      </c>
      <c r="S110">
        <v>92119</v>
      </c>
    </row>
    <row r="111" spans="1:19" x14ac:dyDescent="0.35">
      <c r="B111" s="22"/>
      <c r="E111" s="8"/>
      <c r="F111" s="8" t="s">
        <v>27</v>
      </c>
      <c r="G111" s="8">
        <v>107092</v>
      </c>
      <c r="H111" s="8">
        <v>112274</v>
      </c>
      <c r="I111" s="8">
        <v>124403</v>
      </c>
      <c r="J111">
        <v>139888</v>
      </c>
      <c r="K111">
        <v>168099</v>
      </c>
      <c r="L111">
        <v>201280</v>
      </c>
      <c r="M111">
        <v>214429</v>
      </c>
      <c r="N111">
        <v>229346</v>
      </c>
      <c r="O111">
        <v>245583</v>
      </c>
      <c r="P111">
        <v>258495</v>
      </c>
      <c r="Q111">
        <v>268895</v>
      </c>
      <c r="R111">
        <v>277298</v>
      </c>
      <c r="S111">
        <v>283903</v>
      </c>
    </row>
    <row r="112" spans="1:19" x14ac:dyDescent="0.35">
      <c r="B112" s="22"/>
      <c r="E112" s="30"/>
      <c r="F112" s="30" t="s">
        <v>3</v>
      </c>
      <c r="G112" s="30">
        <v>151237</v>
      </c>
      <c r="H112" s="30">
        <v>174970</v>
      </c>
      <c r="I112" s="30">
        <v>211649</v>
      </c>
      <c r="J112" s="30">
        <v>262223</v>
      </c>
      <c r="K112" s="30">
        <v>327457</v>
      </c>
      <c r="L112" s="30">
        <v>390780</v>
      </c>
      <c r="M112" s="30">
        <v>402346</v>
      </c>
      <c r="N112" s="30">
        <v>411692</v>
      </c>
      <c r="O112" s="30">
        <v>422545</v>
      </c>
      <c r="P112" s="30">
        <v>430913</v>
      </c>
      <c r="Q112" s="30">
        <v>439540</v>
      </c>
      <c r="R112" s="30">
        <v>445969</v>
      </c>
      <c r="S112" s="30">
        <v>452429</v>
      </c>
    </row>
    <row r="113" spans="1:19" x14ac:dyDescent="0.35">
      <c r="B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35">
      <c r="B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35">
      <c r="A115" s="1">
        <f>A91+1</f>
        <v>2026</v>
      </c>
      <c r="B115" t="str">
        <f>CONCATENATE("(F = ",$B$5," in ",A115," onward)")</f>
        <v>(F = Fmsy proxy in 2026 onward)</v>
      </c>
      <c r="F115" s="31"/>
      <c r="G115" s="27"/>
      <c r="H115" s="27"/>
    </row>
    <row r="116" spans="1:19" x14ac:dyDescent="0.35">
      <c r="B116" s="22"/>
      <c r="E116" s="30"/>
      <c r="F116" s="30"/>
      <c r="G116" s="30">
        <v>2020</v>
      </c>
      <c r="H116" s="30">
        <v>2021</v>
      </c>
      <c r="I116" s="30">
        <v>2022</v>
      </c>
      <c r="J116" s="30">
        <v>2023</v>
      </c>
      <c r="K116" s="30">
        <v>2024</v>
      </c>
      <c r="L116" s="30">
        <v>2025</v>
      </c>
      <c r="M116" s="30">
        <v>2026</v>
      </c>
      <c r="N116" s="30">
        <v>2027</v>
      </c>
      <c r="O116" s="30">
        <v>2028</v>
      </c>
      <c r="P116" s="30">
        <v>2029</v>
      </c>
      <c r="Q116" s="30">
        <v>2030</v>
      </c>
      <c r="R116" s="30">
        <v>2031</v>
      </c>
      <c r="S116" s="30">
        <v>2032</v>
      </c>
    </row>
    <row r="117" spans="1:19" x14ac:dyDescent="0.35">
      <c r="B117" t="s">
        <v>10</v>
      </c>
      <c r="C117" s="3">
        <f>HLOOKUP(($A115-1),G116:S117,2,FALSE)</f>
        <v>111512</v>
      </c>
      <c r="E117" s="8" t="s">
        <v>1</v>
      </c>
      <c r="F117" s="8" t="s">
        <v>0</v>
      </c>
      <c r="G117" s="8">
        <v>60294</v>
      </c>
      <c r="H117" s="5">
        <v>63619</v>
      </c>
      <c r="I117" s="5">
        <v>70768</v>
      </c>
      <c r="J117">
        <v>82205</v>
      </c>
      <c r="K117" s="22">
        <v>96378</v>
      </c>
      <c r="L117" s="9">
        <v>111512</v>
      </c>
      <c r="M117">
        <v>121990</v>
      </c>
      <c r="N117">
        <v>127143</v>
      </c>
      <c r="O117">
        <v>132889</v>
      </c>
      <c r="P117">
        <v>138614</v>
      </c>
      <c r="Q117">
        <v>144178</v>
      </c>
      <c r="R117">
        <v>149144</v>
      </c>
      <c r="S117">
        <v>153043</v>
      </c>
    </row>
    <row r="118" spans="1:19" x14ac:dyDescent="0.35">
      <c r="B118" t="s">
        <v>14</v>
      </c>
      <c r="C118" s="3">
        <f>HLOOKUP($A115,G116:S125,10,FALSE)</f>
        <v>22771</v>
      </c>
      <c r="E118" s="8"/>
      <c r="F118" s="8" t="s">
        <v>2</v>
      </c>
      <c r="G118" s="8">
        <v>25841</v>
      </c>
      <c r="H118" s="5">
        <v>24764</v>
      </c>
      <c r="I118" s="5">
        <v>29101</v>
      </c>
      <c r="J118">
        <v>36694</v>
      </c>
      <c r="K118">
        <v>47534</v>
      </c>
      <c r="L118">
        <v>56441</v>
      </c>
      <c r="M118">
        <v>62029</v>
      </c>
      <c r="N118">
        <v>64822</v>
      </c>
      <c r="O118">
        <v>66549</v>
      </c>
      <c r="P118">
        <v>67823</v>
      </c>
      <c r="Q118">
        <v>68951</v>
      </c>
      <c r="R118">
        <v>69922</v>
      </c>
      <c r="S118">
        <v>70873</v>
      </c>
    </row>
    <row r="119" spans="1:19" x14ac:dyDescent="0.35">
      <c r="B119" t="s">
        <v>15</v>
      </c>
      <c r="C119" s="22">
        <f>C117/$C$6</f>
        <v>0.61578220774200676</v>
      </c>
      <c r="E119" s="8"/>
      <c r="F119" s="8" t="s">
        <v>27</v>
      </c>
      <c r="G119" s="8">
        <v>80434</v>
      </c>
      <c r="H119" s="5">
        <v>86837</v>
      </c>
      <c r="I119" s="5">
        <v>95989</v>
      </c>
      <c r="J119">
        <v>112134</v>
      </c>
      <c r="K119">
        <v>133901</v>
      </c>
      <c r="L119">
        <v>158744</v>
      </c>
      <c r="M119">
        <v>176010</v>
      </c>
      <c r="N119">
        <v>184751</v>
      </c>
      <c r="O119">
        <v>195406</v>
      </c>
      <c r="P119">
        <v>205913</v>
      </c>
      <c r="Q119">
        <v>212951</v>
      </c>
      <c r="R119">
        <v>218662</v>
      </c>
      <c r="S119">
        <v>222361</v>
      </c>
    </row>
    <row r="120" spans="1:19" x14ac:dyDescent="0.35">
      <c r="B120" s="22" t="s">
        <v>12</v>
      </c>
      <c r="C120" s="23">
        <f>$C$19</f>
        <v>1.5</v>
      </c>
      <c r="E120" s="8"/>
      <c r="F120" s="8" t="s">
        <v>3</v>
      </c>
      <c r="G120" s="8">
        <v>119119</v>
      </c>
      <c r="H120" s="5">
        <v>136007</v>
      </c>
      <c r="I120" s="5">
        <v>161248</v>
      </c>
      <c r="J120">
        <v>199481</v>
      </c>
      <c r="K120">
        <v>254598</v>
      </c>
      <c r="L120">
        <v>323692</v>
      </c>
      <c r="M120">
        <v>356924</v>
      </c>
      <c r="N120">
        <v>353180</v>
      </c>
      <c r="O120">
        <v>351904</v>
      </c>
      <c r="P120">
        <v>353850</v>
      </c>
      <c r="Q120">
        <v>357721</v>
      </c>
      <c r="R120">
        <v>361365</v>
      </c>
      <c r="S120">
        <v>364849</v>
      </c>
    </row>
    <row r="121" spans="1:19" x14ac:dyDescent="0.35">
      <c r="B121" t="s">
        <v>16</v>
      </c>
      <c r="C121">
        <f>SQRT(LN(C120^2+1))</f>
        <v>1.085658784490618</v>
      </c>
      <c r="E121" s="29" t="s">
        <v>9</v>
      </c>
      <c r="F121" s="29" t="s">
        <v>0</v>
      </c>
      <c r="G121" s="29">
        <v>0.38</v>
      </c>
      <c r="H121" s="32">
        <v>0.23</v>
      </c>
      <c r="I121" s="32">
        <v>0.21</v>
      </c>
      <c r="J121" s="29">
        <v>7.0000000000000007E-2</v>
      </c>
      <c r="K121" s="29">
        <v>0.08</v>
      </c>
      <c r="L121" s="29">
        <v>0.09</v>
      </c>
      <c r="M121" s="29">
        <v>0.22</v>
      </c>
      <c r="N121" s="29">
        <v>0.22</v>
      </c>
      <c r="O121" s="29">
        <v>0.22</v>
      </c>
      <c r="P121" s="29">
        <v>0.22</v>
      </c>
      <c r="Q121" s="29">
        <v>0.22</v>
      </c>
      <c r="R121" s="29">
        <v>0.22</v>
      </c>
      <c r="S121" s="29">
        <v>0.22</v>
      </c>
    </row>
    <row r="122" spans="1:19" x14ac:dyDescent="0.35">
      <c r="A122" s="1"/>
      <c r="B122" t="s">
        <v>17</v>
      </c>
      <c r="C122" s="6">
        <f>IF(C119&gt;=1.5,0.49,IF(C119&lt;0.1,0,IF(C119&lt;1,-0.05+0.5*C119,0.08*(C119)+0.37)))</f>
        <v>0.25789110387100339</v>
      </c>
      <c r="E122" s="8"/>
      <c r="F122" s="8" t="s">
        <v>2</v>
      </c>
      <c r="G122" s="8">
        <v>0.19</v>
      </c>
      <c r="H122" s="5">
        <v>0.11</v>
      </c>
      <c r="I122" s="5">
        <v>0.09</v>
      </c>
      <c r="J122" s="8">
        <v>0.03</v>
      </c>
      <c r="K122" s="8">
        <v>0.03</v>
      </c>
      <c r="L122" s="8">
        <v>0.03</v>
      </c>
      <c r="M122" s="8">
        <v>0.22</v>
      </c>
      <c r="N122" s="8">
        <v>0.22</v>
      </c>
      <c r="O122" s="8">
        <v>0.22</v>
      </c>
      <c r="P122" s="8">
        <v>0.22</v>
      </c>
      <c r="Q122" s="8">
        <v>0.22</v>
      </c>
      <c r="R122" s="8">
        <v>0.22</v>
      </c>
      <c r="S122" s="8">
        <v>0.22</v>
      </c>
    </row>
    <row r="123" spans="1:19" x14ac:dyDescent="0.35">
      <c r="B123" s="1" t="s">
        <v>7</v>
      </c>
      <c r="C123" s="24">
        <f>_xlfn.LOGNORM.INV(C122,LN(C118),C121)</f>
        <v>11245.418735326733</v>
      </c>
      <c r="E123" s="8"/>
      <c r="F123" s="8" t="s">
        <v>27</v>
      </c>
      <c r="G123" s="8">
        <v>0.51</v>
      </c>
      <c r="H123" s="5">
        <v>0.33</v>
      </c>
      <c r="I123" s="5">
        <v>0.28999999999999998</v>
      </c>
      <c r="J123" s="5">
        <v>0.09</v>
      </c>
      <c r="K123" s="8">
        <v>0.1</v>
      </c>
      <c r="L123" s="8">
        <v>0.12</v>
      </c>
      <c r="M123" s="8">
        <v>0.22</v>
      </c>
      <c r="N123" s="8">
        <v>0.22</v>
      </c>
      <c r="O123" s="8">
        <v>0.22</v>
      </c>
      <c r="P123" s="8">
        <v>0.22</v>
      </c>
      <c r="Q123" s="8">
        <v>0.22</v>
      </c>
      <c r="R123" s="8">
        <v>0.22</v>
      </c>
      <c r="S123" s="8">
        <v>0.22</v>
      </c>
    </row>
    <row r="124" spans="1:19" x14ac:dyDescent="0.35">
      <c r="B124" s="1" t="s">
        <v>18</v>
      </c>
      <c r="C124">
        <f>C123/C118</f>
        <v>0.4938482603015561</v>
      </c>
      <c r="E124" s="30"/>
      <c r="F124" s="30" t="s">
        <v>3</v>
      </c>
      <c r="G124" s="30">
        <v>0.89</v>
      </c>
      <c r="H124" s="37">
        <v>0.63</v>
      </c>
      <c r="I124" s="37">
        <v>0.54</v>
      </c>
      <c r="J124" s="30">
        <v>0.16</v>
      </c>
      <c r="K124" s="30">
        <v>0.16</v>
      </c>
      <c r="L124" s="30">
        <v>0.18</v>
      </c>
      <c r="M124" s="30">
        <v>0.22</v>
      </c>
      <c r="N124" s="30">
        <v>0.22</v>
      </c>
      <c r="O124" s="30">
        <v>0.22</v>
      </c>
      <c r="P124" s="30">
        <v>0.22</v>
      </c>
      <c r="Q124" s="30">
        <v>0.22</v>
      </c>
      <c r="R124" s="30">
        <v>0.22</v>
      </c>
      <c r="S124" s="30">
        <v>0.22</v>
      </c>
    </row>
    <row r="125" spans="1:19" x14ac:dyDescent="0.35">
      <c r="B125" s="22"/>
      <c r="E125" s="8" t="s">
        <v>6</v>
      </c>
      <c r="F125" s="8" t="s">
        <v>0</v>
      </c>
      <c r="G125" s="8">
        <v>18014</v>
      </c>
      <c r="H125" s="5">
        <v>12220</v>
      </c>
      <c r="I125" s="5">
        <v>12055</v>
      </c>
      <c r="J125">
        <v>4539</v>
      </c>
      <c r="K125">
        <v>6207</v>
      </c>
      <c r="L125" s="22">
        <v>8455</v>
      </c>
      <c r="M125" s="9">
        <v>22771</v>
      </c>
      <c r="N125">
        <v>23690</v>
      </c>
      <c r="O125">
        <v>24778</v>
      </c>
      <c r="P125">
        <v>25803</v>
      </c>
      <c r="Q125">
        <v>26817</v>
      </c>
      <c r="R125">
        <v>27746</v>
      </c>
      <c r="S125">
        <v>28544</v>
      </c>
    </row>
    <row r="126" spans="1:19" x14ac:dyDescent="0.35">
      <c r="B126" s="39" t="s">
        <v>28</v>
      </c>
      <c r="C126" s="40">
        <f>ROUND(C123,0)</f>
        <v>11245</v>
      </c>
      <c r="E126" s="8"/>
      <c r="F126" s="8" t="s">
        <v>2</v>
      </c>
      <c r="G126" s="8">
        <v>18014</v>
      </c>
      <c r="H126" s="5">
        <v>12220</v>
      </c>
      <c r="I126" s="5">
        <v>12055</v>
      </c>
      <c r="J126">
        <v>4539</v>
      </c>
      <c r="K126">
        <v>6207</v>
      </c>
      <c r="L126">
        <v>8455</v>
      </c>
      <c r="M126">
        <v>11342</v>
      </c>
      <c r="N126">
        <v>12016</v>
      </c>
      <c r="O126">
        <v>12443</v>
      </c>
      <c r="P126">
        <v>12732</v>
      </c>
      <c r="Q126">
        <v>12973</v>
      </c>
      <c r="R126">
        <v>13193</v>
      </c>
      <c r="S126">
        <v>13393</v>
      </c>
    </row>
    <row r="127" spans="1:19" x14ac:dyDescent="0.35">
      <c r="B127" s="5"/>
      <c r="E127" s="8"/>
      <c r="F127" s="8" t="s">
        <v>27</v>
      </c>
      <c r="G127" s="8">
        <v>18014</v>
      </c>
      <c r="H127" s="5">
        <v>12220</v>
      </c>
      <c r="I127" s="5">
        <v>12055</v>
      </c>
      <c r="J127">
        <v>4539</v>
      </c>
      <c r="K127">
        <v>6207</v>
      </c>
      <c r="L127">
        <v>8455</v>
      </c>
      <c r="M127">
        <v>32822</v>
      </c>
      <c r="N127">
        <v>34271</v>
      </c>
      <c r="O127">
        <v>36124</v>
      </c>
      <c r="P127">
        <v>38048</v>
      </c>
      <c r="Q127">
        <v>39458</v>
      </c>
      <c r="R127">
        <v>40552</v>
      </c>
      <c r="S127">
        <v>41385</v>
      </c>
    </row>
    <row r="128" spans="1:19" x14ac:dyDescent="0.35">
      <c r="B128" s="5"/>
      <c r="E128" s="8"/>
      <c r="F128" s="8" t="s">
        <v>3</v>
      </c>
      <c r="G128" s="8">
        <v>18014</v>
      </c>
      <c r="H128" s="8">
        <v>12220</v>
      </c>
      <c r="I128" s="8">
        <v>12055</v>
      </c>
      <c r="J128">
        <v>4539</v>
      </c>
      <c r="K128">
        <v>6207</v>
      </c>
      <c r="L128">
        <v>8455</v>
      </c>
      <c r="M128">
        <v>65271</v>
      </c>
      <c r="N128">
        <v>65031</v>
      </c>
      <c r="O128">
        <v>64778</v>
      </c>
      <c r="P128">
        <v>64880</v>
      </c>
      <c r="Q128">
        <v>65288</v>
      </c>
      <c r="R128">
        <v>65925</v>
      </c>
      <c r="S128">
        <v>66728</v>
      </c>
    </row>
    <row r="129" spans="1:19" x14ac:dyDescent="0.35">
      <c r="B129" s="5"/>
      <c r="E129" s="29" t="s">
        <v>4</v>
      </c>
      <c r="F129" s="29" t="s">
        <v>0</v>
      </c>
      <c r="G129" s="29">
        <v>131006</v>
      </c>
      <c r="H129" s="29">
        <v>131990</v>
      </c>
      <c r="I129" s="29">
        <v>133111</v>
      </c>
      <c r="J129" s="29">
        <v>135448</v>
      </c>
      <c r="K129" s="29">
        <v>139807</v>
      </c>
      <c r="L129" s="29">
        <v>145563</v>
      </c>
      <c r="M129" s="29">
        <v>146250</v>
      </c>
      <c r="N129" s="29">
        <v>146532</v>
      </c>
      <c r="O129" s="29">
        <v>146672</v>
      </c>
      <c r="P129" s="29">
        <v>147109</v>
      </c>
      <c r="Q129" s="29">
        <v>148143</v>
      </c>
      <c r="R129" s="29">
        <v>149528</v>
      </c>
      <c r="S129" s="29">
        <v>150962</v>
      </c>
    </row>
    <row r="130" spans="1:19" x14ac:dyDescent="0.35">
      <c r="B130" s="5"/>
      <c r="E130" s="8"/>
      <c r="F130" s="8" t="s">
        <v>2</v>
      </c>
      <c r="G130" s="8">
        <v>26674</v>
      </c>
      <c r="H130" s="8">
        <v>26748</v>
      </c>
      <c r="I130" s="8">
        <v>26796</v>
      </c>
      <c r="J130" s="8">
        <v>26979</v>
      </c>
      <c r="K130" s="8">
        <v>27290</v>
      </c>
      <c r="L130" s="8">
        <v>28293</v>
      </c>
      <c r="M130" s="8">
        <v>29191</v>
      </c>
      <c r="N130" s="8">
        <v>29352</v>
      </c>
      <c r="O130" s="8">
        <v>29928</v>
      </c>
      <c r="P130" s="8">
        <v>30339</v>
      </c>
      <c r="Q130" s="8">
        <v>30779</v>
      </c>
      <c r="R130" s="8">
        <v>31081</v>
      </c>
      <c r="S130" s="8">
        <v>31537</v>
      </c>
    </row>
    <row r="131" spans="1:19" x14ac:dyDescent="0.35">
      <c r="B131" s="22"/>
      <c r="E131" s="8"/>
      <c r="F131" s="8" t="s">
        <v>27</v>
      </c>
      <c r="G131" s="8">
        <v>151002</v>
      </c>
      <c r="H131" s="8">
        <v>155867</v>
      </c>
      <c r="I131" s="8">
        <v>163702</v>
      </c>
      <c r="J131" s="8">
        <v>173567</v>
      </c>
      <c r="K131" s="8">
        <v>187455</v>
      </c>
      <c r="L131" s="8">
        <v>199515</v>
      </c>
      <c r="M131" s="8">
        <v>203758</v>
      </c>
      <c r="N131" s="8">
        <v>205281</v>
      </c>
      <c r="O131" s="8">
        <v>206440</v>
      </c>
      <c r="P131" s="8">
        <v>211029</v>
      </c>
      <c r="Q131" s="8">
        <v>212424</v>
      </c>
      <c r="R131" s="8">
        <v>214903</v>
      </c>
      <c r="S131" s="8">
        <v>216579</v>
      </c>
    </row>
    <row r="132" spans="1:19" x14ac:dyDescent="0.35">
      <c r="B132" s="22"/>
      <c r="E132" s="30"/>
      <c r="F132" s="30" t="s">
        <v>3</v>
      </c>
      <c r="G132" s="30">
        <v>350002</v>
      </c>
      <c r="H132" s="30">
        <v>367731</v>
      </c>
      <c r="I132" s="30">
        <v>376041</v>
      </c>
      <c r="J132" s="30">
        <v>464582</v>
      </c>
      <c r="K132" s="30">
        <v>534608</v>
      </c>
      <c r="L132" s="30">
        <v>712652</v>
      </c>
      <c r="M132" s="30">
        <v>772300</v>
      </c>
      <c r="N132" s="30">
        <v>814080</v>
      </c>
      <c r="O132" s="30">
        <v>825815</v>
      </c>
      <c r="P132" s="30">
        <v>891404</v>
      </c>
      <c r="Q132" s="30">
        <v>894000</v>
      </c>
      <c r="R132" s="30">
        <v>927031</v>
      </c>
      <c r="S132" s="30">
        <v>939239</v>
      </c>
    </row>
    <row r="133" spans="1:19" x14ac:dyDescent="0.35">
      <c r="B133" s="22"/>
      <c r="E133" s="8" t="s">
        <v>5</v>
      </c>
      <c r="F133" s="8" t="s">
        <v>0</v>
      </c>
      <c r="G133" s="8">
        <v>84112</v>
      </c>
      <c r="H133" s="8">
        <v>86380</v>
      </c>
      <c r="I133" s="8">
        <v>94862</v>
      </c>
      <c r="J133">
        <v>103876</v>
      </c>
      <c r="K133">
        <v>120838</v>
      </c>
      <c r="L133">
        <v>140397</v>
      </c>
      <c r="M133">
        <v>161351</v>
      </c>
      <c r="N133">
        <v>169042</v>
      </c>
      <c r="O133">
        <v>176418</v>
      </c>
      <c r="P133">
        <v>183557</v>
      </c>
      <c r="Q133">
        <v>190538</v>
      </c>
      <c r="R133">
        <v>196538</v>
      </c>
      <c r="S133">
        <v>201388</v>
      </c>
    </row>
    <row r="134" spans="1:19" x14ac:dyDescent="0.35">
      <c r="B134" s="22"/>
      <c r="E134" s="8"/>
      <c r="F134" s="8" t="s">
        <v>2</v>
      </c>
      <c r="G134" s="8">
        <v>44855</v>
      </c>
      <c r="H134" s="8">
        <v>42751</v>
      </c>
      <c r="I134" s="8">
        <v>47284</v>
      </c>
      <c r="J134">
        <v>52079</v>
      </c>
      <c r="K134">
        <v>64646</v>
      </c>
      <c r="L134">
        <v>75245</v>
      </c>
      <c r="M134">
        <v>82787</v>
      </c>
      <c r="N134">
        <v>86248</v>
      </c>
      <c r="O134">
        <v>88451</v>
      </c>
      <c r="P134">
        <v>90108</v>
      </c>
      <c r="Q134">
        <v>91694</v>
      </c>
      <c r="R134">
        <v>93244</v>
      </c>
      <c r="S134">
        <v>94524</v>
      </c>
    </row>
    <row r="135" spans="1:19" x14ac:dyDescent="0.35">
      <c r="B135" s="22"/>
      <c r="E135" s="8"/>
      <c r="F135" s="8" t="s">
        <v>27</v>
      </c>
      <c r="G135" s="8">
        <v>107092</v>
      </c>
      <c r="H135" s="8">
        <v>112274</v>
      </c>
      <c r="I135" s="8">
        <v>124403</v>
      </c>
      <c r="J135">
        <v>139888</v>
      </c>
      <c r="K135">
        <v>168099</v>
      </c>
      <c r="L135">
        <v>201280</v>
      </c>
      <c r="M135">
        <v>236469</v>
      </c>
      <c r="N135">
        <v>248788</v>
      </c>
      <c r="O135">
        <v>263252</v>
      </c>
      <c r="P135">
        <v>273841</v>
      </c>
      <c r="Q135">
        <v>282154</v>
      </c>
      <c r="R135">
        <v>287861</v>
      </c>
      <c r="S135">
        <v>292704</v>
      </c>
    </row>
    <row r="136" spans="1:19" x14ac:dyDescent="0.35">
      <c r="B136" s="22"/>
      <c r="E136" s="30"/>
      <c r="F136" s="30" t="s">
        <v>3</v>
      </c>
      <c r="G136" s="30">
        <v>151237</v>
      </c>
      <c r="H136" s="30">
        <v>174970</v>
      </c>
      <c r="I136" s="30">
        <v>211649</v>
      </c>
      <c r="J136" s="30">
        <v>262223</v>
      </c>
      <c r="K136" s="30">
        <v>327457</v>
      </c>
      <c r="L136" s="30">
        <v>390780</v>
      </c>
      <c r="M136" s="30">
        <v>445732</v>
      </c>
      <c r="N136" s="30">
        <v>443234</v>
      </c>
      <c r="O136" s="30">
        <v>444408</v>
      </c>
      <c r="P136" s="30">
        <v>446197</v>
      </c>
      <c r="Q136" s="30">
        <v>450470</v>
      </c>
      <c r="R136" s="30">
        <v>455488</v>
      </c>
      <c r="S136" s="30">
        <v>459696</v>
      </c>
    </row>
    <row r="137" spans="1:19" x14ac:dyDescent="0.35">
      <c r="B137" s="2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35">
      <c r="B138" s="2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35">
      <c r="A139" s="1">
        <f>A115+1</f>
        <v>2027</v>
      </c>
      <c r="B139" t="str">
        <f>CONCATENATE("(F = ",$B$5," in ",A139," onward)")</f>
        <v>(F = Fmsy proxy in 2027 onward)</v>
      </c>
      <c r="F139" s="31"/>
      <c r="G139" s="27"/>
      <c r="H139" s="27"/>
    </row>
    <row r="140" spans="1:19" x14ac:dyDescent="0.35">
      <c r="B140" s="22"/>
      <c r="E140" s="30"/>
      <c r="F140" s="30"/>
      <c r="G140" s="30">
        <v>2020</v>
      </c>
      <c r="H140" s="30">
        <v>2021</v>
      </c>
      <c r="I140" s="30">
        <v>2022</v>
      </c>
      <c r="J140" s="30">
        <v>2023</v>
      </c>
      <c r="K140" s="30">
        <v>2024</v>
      </c>
      <c r="L140" s="30">
        <v>2025</v>
      </c>
      <c r="M140" s="30">
        <v>2026</v>
      </c>
      <c r="N140" s="30">
        <v>2027</v>
      </c>
      <c r="O140" s="30">
        <v>2028</v>
      </c>
      <c r="P140" s="30">
        <v>2029</v>
      </c>
      <c r="Q140" s="30">
        <v>2030</v>
      </c>
      <c r="R140" s="30">
        <v>2031</v>
      </c>
      <c r="S140" s="30">
        <v>2032</v>
      </c>
    </row>
    <row r="141" spans="1:19" x14ac:dyDescent="0.35">
      <c r="B141" t="s">
        <v>10</v>
      </c>
      <c r="C141" s="3">
        <f>HLOOKUP(($A139-1),G140:S141,2,FALSE)</f>
        <v>126811</v>
      </c>
      <c r="E141" s="8" t="s">
        <v>1</v>
      </c>
      <c r="F141" s="8" t="s">
        <v>0</v>
      </c>
      <c r="G141" s="8">
        <v>60294</v>
      </c>
      <c r="H141" s="5">
        <v>63619</v>
      </c>
      <c r="I141" s="5">
        <v>70768</v>
      </c>
      <c r="J141">
        <v>82205</v>
      </c>
      <c r="K141" s="22">
        <v>96378</v>
      </c>
      <c r="L141" s="22">
        <v>111512</v>
      </c>
      <c r="M141" s="9">
        <v>126811</v>
      </c>
      <c r="N141">
        <v>137517</v>
      </c>
      <c r="O141">
        <v>142006</v>
      </c>
      <c r="P141">
        <v>146694</v>
      </c>
      <c r="Q141">
        <v>151196</v>
      </c>
      <c r="R141">
        <v>155267</v>
      </c>
      <c r="S141">
        <v>158418</v>
      </c>
    </row>
    <row r="142" spans="1:19" x14ac:dyDescent="0.35">
      <c r="B142" t="s">
        <v>14</v>
      </c>
      <c r="C142" s="3">
        <f>HLOOKUP($A139,G140:S149,10,FALSE)</f>
        <v>25715</v>
      </c>
      <c r="E142" s="8"/>
      <c r="F142" s="8" t="s">
        <v>2</v>
      </c>
      <c r="G142" s="8">
        <v>25841</v>
      </c>
      <c r="H142" s="5">
        <v>24764</v>
      </c>
      <c r="I142" s="5">
        <v>29101</v>
      </c>
      <c r="J142">
        <v>36694</v>
      </c>
      <c r="K142">
        <v>47534</v>
      </c>
      <c r="L142">
        <v>56441</v>
      </c>
      <c r="M142">
        <v>62149</v>
      </c>
      <c r="N142">
        <v>65448</v>
      </c>
      <c r="O142">
        <v>67431</v>
      </c>
      <c r="P142">
        <v>68867</v>
      </c>
      <c r="Q142">
        <v>70143</v>
      </c>
      <c r="R142">
        <v>71292</v>
      </c>
      <c r="S142">
        <v>72403</v>
      </c>
    </row>
    <row r="143" spans="1:19" x14ac:dyDescent="0.35">
      <c r="B143" t="s">
        <v>15</v>
      </c>
      <c r="C143" s="22">
        <f>C141/$C$6</f>
        <v>0.70026506157159418</v>
      </c>
      <c r="E143" s="8"/>
      <c r="F143" s="8" t="s">
        <v>27</v>
      </c>
      <c r="G143" s="8">
        <v>80434</v>
      </c>
      <c r="H143" s="5">
        <v>86837</v>
      </c>
      <c r="I143" s="5">
        <v>95989</v>
      </c>
      <c r="J143">
        <v>112134</v>
      </c>
      <c r="K143">
        <v>133901</v>
      </c>
      <c r="L143">
        <v>158744</v>
      </c>
      <c r="M143">
        <v>185028</v>
      </c>
      <c r="N143">
        <v>204122</v>
      </c>
      <c r="O143">
        <v>211447</v>
      </c>
      <c r="P143">
        <v>219494</v>
      </c>
      <c r="Q143">
        <v>224248</v>
      </c>
      <c r="R143">
        <v>227489</v>
      </c>
      <c r="S143">
        <v>229103</v>
      </c>
    </row>
    <row r="144" spans="1:19" x14ac:dyDescent="0.35">
      <c r="B144" s="22" t="s">
        <v>12</v>
      </c>
      <c r="C144" s="23">
        <f>$C$19</f>
        <v>1.5</v>
      </c>
      <c r="E144" s="8"/>
      <c r="F144" s="8" t="s">
        <v>3</v>
      </c>
      <c r="G144" s="8">
        <v>119119</v>
      </c>
      <c r="H144" s="5">
        <v>136007</v>
      </c>
      <c r="I144" s="5">
        <v>161248</v>
      </c>
      <c r="J144">
        <v>199481</v>
      </c>
      <c r="K144">
        <v>254598</v>
      </c>
      <c r="L144">
        <v>323692</v>
      </c>
      <c r="M144">
        <v>379844</v>
      </c>
      <c r="N144">
        <v>398474</v>
      </c>
      <c r="O144">
        <v>383945</v>
      </c>
      <c r="P144">
        <v>373998</v>
      </c>
      <c r="Q144">
        <v>370307</v>
      </c>
      <c r="R144">
        <v>369192</v>
      </c>
      <c r="S144">
        <v>370605</v>
      </c>
    </row>
    <row r="145" spans="1:19" x14ac:dyDescent="0.35">
      <c r="B145" t="s">
        <v>16</v>
      </c>
      <c r="C145">
        <f>SQRT(LN(C144^2+1))</f>
        <v>1.085658784490618</v>
      </c>
      <c r="E145" s="29" t="s">
        <v>9</v>
      </c>
      <c r="F145" s="29" t="s">
        <v>0</v>
      </c>
      <c r="G145" s="29">
        <v>0.38</v>
      </c>
      <c r="H145" s="32">
        <v>0.23</v>
      </c>
      <c r="I145" s="32">
        <v>0.21</v>
      </c>
      <c r="J145" s="29">
        <v>7.0000000000000007E-2</v>
      </c>
      <c r="K145" s="29">
        <v>0.08</v>
      </c>
      <c r="L145" s="29">
        <v>0.09</v>
      </c>
      <c r="M145" s="29">
        <v>0.1</v>
      </c>
      <c r="N145" s="29">
        <v>0.22</v>
      </c>
      <c r="O145" s="29">
        <v>0.22</v>
      </c>
      <c r="P145" s="29">
        <v>0.22</v>
      </c>
      <c r="Q145" s="29">
        <v>0.22</v>
      </c>
      <c r="R145" s="29">
        <v>0.22</v>
      </c>
      <c r="S145" s="29">
        <v>0.22</v>
      </c>
    </row>
    <row r="146" spans="1:19" x14ac:dyDescent="0.35">
      <c r="A146" s="1"/>
      <c r="B146" t="s">
        <v>17</v>
      </c>
      <c r="C146" s="6">
        <f>IF(C143&gt;=1.5,0.49,IF(C143&lt;0.1,0,IF(C143&lt;1,-0.05+0.5*C143,0.08*(C143)+0.37)))</f>
        <v>0.3001325307857971</v>
      </c>
      <c r="E146" s="8"/>
      <c r="F146" s="8" t="s">
        <v>2</v>
      </c>
      <c r="G146" s="8">
        <v>0.19</v>
      </c>
      <c r="H146" s="5">
        <v>0.11</v>
      </c>
      <c r="I146" s="5">
        <v>0.09</v>
      </c>
      <c r="J146" s="8">
        <v>0.03</v>
      </c>
      <c r="K146" s="8">
        <v>0.03</v>
      </c>
      <c r="L146" s="8">
        <v>0.03</v>
      </c>
      <c r="M146" s="8">
        <v>0.04</v>
      </c>
      <c r="N146" s="8">
        <v>0.22</v>
      </c>
      <c r="O146" s="8">
        <v>0.22</v>
      </c>
      <c r="P146" s="8">
        <v>0.22</v>
      </c>
      <c r="Q146" s="8">
        <v>0.22</v>
      </c>
      <c r="R146" s="8">
        <v>0.22</v>
      </c>
      <c r="S146" s="8">
        <v>0.22</v>
      </c>
    </row>
    <row r="147" spans="1:19" x14ac:dyDescent="0.35">
      <c r="B147" s="1" t="s">
        <v>7</v>
      </c>
      <c r="C147" s="24">
        <f>_xlfn.LOGNORM.INV(C146,LN(C142),C145)</f>
        <v>14558.401326013365</v>
      </c>
      <c r="E147" s="8"/>
      <c r="F147" s="8" t="s">
        <v>27</v>
      </c>
      <c r="G147" s="8">
        <v>0.51</v>
      </c>
      <c r="H147" s="5">
        <v>0.33</v>
      </c>
      <c r="I147" s="5">
        <v>0.28999999999999998</v>
      </c>
      <c r="J147" s="5">
        <v>0.09</v>
      </c>
      <c r="K147" s="8">
        <v>0.1</v>
      </c>
      <c r="L147" s="8">
        <v>0.12</v>
      </c>
      <c r="M147" s="8">
        <v>0.14000000000000001</v>
      </c>
      <c r="N147" s="8">
        <v>0.22</v>
      </c>
      <c r="O147" s="8">
        <v>0.22</v>
      </c>
      <c r="P147" s="8">
        <v>0.22</v>
      </c>
      <c r="Q147" s="8">
        <v>0.22</v>
      </c>
      <c r="R147" s="8">
        <v>0.22</v>
      </c>
      <c r="S147" s="8">
        <v>0.22</v>
      </c>
    </row>
    <row r="148" spans="1:19" x14ac:dyDescent="0.35">
      <c r="B148" s="1" t="s">
        <v>18</v>
      </c>
      <c r="C148">
        <f>C147/C142</f>
        <v>0.56614432533592707</v>
      </c>
      <c r="E148" s="30"/>
      <c r="F148" s="30" t="s">
        <v>3</v>
      </c>
      <c r="G148" s="30">
        <v>0.89</v>
      </c>
      <c r="H148" s="37">
        <v>0.63</v>
      </c>
      <c r="I148" s="37">
        <v>0.54</v>
      </c>
      <c r="J148" s="30">
        <v>0.16</v>
      </c>
      <c r="K148" s="30">
        <v>0.16</v>
      </c>
      <c r="L148" s="30">
        <v>0.18</v>
      </c>
      <c r="M148" s="30">
        <v>0.22</v>
      </c>
      <c r="N148" s="30">
        <v>0.22</v>
      </c>
      <c r="O148" s="30">
        <v>0.22</v>
      </c>
      <c r="P148" s="30">
        <v>0.22</v>
      </c>
      <c r="Q148" s="30">
        <v>0.22</v>
      </c>
      <c r="R148" s="30">
        <v>0.22</v>
      </c>
      <c r="S148" s="30">
        <v>0.22</v>
      </c>
    </row>
    <row r="149" spans="1:19" x14ac:dyDescent="0.35">
      <c r="B149" s="22"/>
      <c r="E149" s="8" t="s">
        <v>6</v>
      </c>
      <c r="F149" s="8" t="s">
        <v>0</v>
      </c>
      <c r="G149" s="8">
        <v>18014</v>
      </c>
      <c r="H149" s="5">
        <v>12220</v>
      </c>
      <c r="I149" s="5">
        <v>12055</v>
      </c>
      <c r="J149">
        <v>4539</v>
      </c>
      <c r="K149">
        <v>6207</v>
      </c>
      <c r="L149" s="22">
        <v>8455</v>
      </c>
      <c r="M149" s="22">
        <v>11245</v>
      </c>
      <c r="N149" s="9">
        <v>25715</v>
      </c>
      <c r="O149">
        <v>26564</v>
      </c>
      <c r="P149">
        <v>27380</v>
      </c>
      <c r="Q149">
        <v>28219</v>
      </c>
      <c r="R149">
        <v>28987</v>
      </c>
      <c r="S149">
        <v>29617</v>
      </c>
    </row>
    <row r="150" spans="1:19" x14ac:dyDescent="0.35">
      <c r="B150" s="39" t="s">
        <v>28</v>
      </c>
      <c r="C150" s="40">
        <f>ROUND(C147,0)</f>
        <v>14558</v>
      </c>
      <c r="E150" s="8"/>
      <c r="F150" s="8" t="s">
        <v>2</v>
      </c>
      <c r="G150" s="8">
        <v>18014</v>
      </c>
      <c r="H150" s="5">
        <v>12220</v>
      </c>
      <c r="I150" s="5">
        <v>12055</v>
      </c>
      <c r="J150">
        <v>4539</v>
      </c>
      <c r="K150">
        <v>6207</v>
      </c>
      <c r="L150">
        <v>8455</v>
      </c>
      <c r="M150">
        <v>11245</v>
      </c>
      <c r="N150">
        <v>12090</v>
      </c>
      <c r="O150">
        <v>12564</v>
      </c>
      <c r="P150">
        <v>12896</v>
      </c>
      <c r="Q150">
        <v>13161</v>
      </c>
      <c r="R150">
        <v>13419</v>
      </c>
      <c r="S150">
        <v>13638</v>
      </c>
    </row>
    <row r="151" spans="1:19" x14ac:dyDescent="0.35">
      <c r="B151" s="5"/>
      <c r="E151" s="8"/>
      <c r="F151" s="8" t="s">
        <v>27</v>
      </c>
      <c r="G151" s="8">
        <v>18014</v>
      </c>
      <c r="H151" s="5">
        <v>12220</v>
      </c>
      <c r="I151" s="5">
        <v>12055</v>
      </c>
      <c r="J151">
        <v>4539</v>
      </c>
      <c r="K151">
        <v>6207</v>
      </c>
      <c r="L151">
        <v>8455</v>
      </c>
      <c r="M151">
        <v>11245</v>
      </c>
      <c r="N151">
        <v>38038</v>
      </c>
      <c r="O151">
        <v>39264</v>
      </c>
      <c r="P151">
        <v>40677</v>
      </c>
      <c r="Q151">
        <v>41724</v>
      </c>
      <c r="R151">
        <v>42333</v>
      </c>
      <c r="S151">
        <v>42728</v>
      </c>
    </row>
    <row r="152" spans="1:19" x14ac:dyDescent="0.35">
      <c r="B152" s="5"/>
      <c r="E152" s="8"/>
      <c r="F152" s="8" t="s">
        <v>3</v>
      </c>
      <c r="G152" s="8">
        <v>18014</v>
      </c>
      <c r="H152" s="8">
        <v>12220</v>
      </c>
      <c r="I152" s="8">
        <v>12055</v>
      </c>
      <c r="J152">
        <v>4539</v>
      </c>
      <c r="K152">
        <v>6207</v>
      </c>
      <c r="L152">
        <v>8455</v>
      </c>
      <c r="M152">
        <v>11245</v>
      </c>
      <c r="N152">
        <v>74095</v>
      </c>
      <c r="O152">
        <v>71410</v>
      </c>
      <c r="P152">
        <v>69414</v>
      </c>
      <c r="Q152">
        <v>68267</v>
      </c>
      <c r="R152">
        <v>67849</v>
      </c>
      <c r="S152">
        <v>67927</v>
      </c>
    </row>
    <row r="153" spans="1:19" x14ac:dyDescent="0.35">
      <c r="B153" s="5"/>
      <c r="E153" s="29" t="s">
        <v>4</v>
      </c>
      <c r="F153" s="29" t="s">
        <v>0</v>
      </c>
      <c r="G153" s="29">
        <v>131006</v>
      </c>
      <c r="H153" s="29">
        <v>131990</v>
      </c>
      <c r="I153" s="29">
        <v>133111</v>
      </c>
      <c r="J153" s="29">
        <v>135448</v>
      </c>
      <c r="K153" s="29">
        <v>139807</v>
      </c>
      <c r="L153" s="29">
        <v>145563</v>
      </c>
      <c r="M153" s="29">
        <v>146515</v>
      </c>
      <c r="N153" s="29">
        <v>147066</v>
      </c>
      <c r="O153" s="29">
        <v>147124</v>
      </c>
      <c r="P153" s="29">
        <v>148805</v>
      </c>
      <c r="Q153" s="29">
        <v>150826</v>
      </c>
      <c r="R153" s="29">
        <v>151921</v>
      </c>
      <c r="S153" s="29">
        <v>153085</v>
      </c>
    </row>
    <row r="154" spans="1:19" x14ac:dyDescent="0.35">
      <c r="B154" s="5"/>
      <c r="E154" s="8"/>
      <c r="F154" s="8" t="s">
        <v>2</v>
      </c>
      <c r="G154" s="8">
        <v>26674</v>
      </c>
      <c r="H154" s="8">
        <v>26748</v>
      </c>
      <c r="I154" s="8">
        <v>26796</v>
      </c>
      <c r="J154" s="8">
        <v>26979</v>
      </c>
      <c r="K154" s="8">
        <v>27290</v>
      </c>
      <c r="L154" s="8">
        <v>28293</v>
      </c>
      <c r="M154" s="8">
        <v>29555</v>
      </c>
      <c r="N154" s="8">
        <v>30115</v>
      </c>
      <c r="O154" s="8">
        <v>30576</v>
      </c>
      <c r="P154" s="8">
        <v>30874</v>
      </c>
      <c r="Q154" s="8">
        <v>31252</v>
      </c>
      <c r="R154" s="8">
        <v>31500</v>
      </c>
      <c r="S154" s="8">
        <v>31948</v>
      </c>
    </row>
    <row r="155" spans="1:19" x14ac:dyDescent="0.35">
      <c r="B155" s="22"/>
      <c r="E155" s="8"/>
      <c r="F155" s="8" t="s">
        <v>27</v>
      </c>
      <c r="G155" s="8">
        <v>151002</v>
      </c>
      <c r="H155" s="8">
        <v>155867</v>
      </c>
      <c r="I155" s="8">
        <v>163702</v>
      </c>
      <c r="J155" s="8">
        <v>173567</v>
      </c>
      <c r="K155" s="8">
        <v>187455</v>
      </c>
      <c r="L155" s="8">
        <v>199515</v>
      </c>
      <c r="M155" s="8">
        <v>205484</v>
      </c>
      <c r="N155" s="8">
        <v>209011</v>
      </c>
      <c r="O155" s="8">
        <v>210092</v>
      </c>
      <c r="P155" s="8">
        <v>214807</v>
      </c>
      <c r="Q155" s="8">
        <v>215670</v>
      </c>
      <c r="R155" s="8">
        <v>217824</v>
      </c>
      <c r="S155" s="8">
        <v>219155</v>
      </c>
    </row>
    <row r="156" spans="1:19" x14ac:dyDescent="0.35">
      <c r="B156" s="22"/>
      <c r="E156" s="30"/>
      <c r="F156" s="30" t="s">
        <v>3</v>
      </c>
      <c r="G156" s="30">
        <v>350002</v>
      </c>
      <c r="H156" s="30">
        <v>367731</v>
      </c>
      <c r="I156" s="30">
        <v>376041</v>
      </c>
      <c r="J156" s="30">
        <v>464582</v>
      </c>
      <c r="K156" s="30">
        <v>534608</v>
      </c>
      <c r="L156" s="30">
        <v>712652</v>
      </c>
      <c r="M156" s="30">
        <v>808458</v>
      </c>
      <c r="N156" s="30">
        <v>871119</v>
      </c>
      <c r="O156" s="30">
        <v>874129</v>
      </c>
      <c r="P156" s="30">
        <v>928248</v>
      </c>
      <c r="Q156" s="30">
        <v>925088</v>
      </c>
      <c r="R156" s="30">
        <v>956204</v>
      </c>
      <c r="S156" s="30">
        <v>960141</v>
      </c>
    </row>
    <row r="157" spans="1:19" x14ac:dyDescent="0.35">
      <c r="B157" s="22"/>
      <c r="E157" s="8" t="s">
        <v>5</v>
      </c>
      <c r="F157" s="8" t="s">
        <v>0</v>
      </c>
      <c r="G157" s="8">
        <v>84112</v>
      </c>
      <c r="H157" s="8">
        <v>86380</v>
      </c>
      <c r="I157" s="8">
        <v>94862</v>
      </c>
      <c r="J157">
        <v>103876</v>
      </c>
      <c r="K157">
        <v>120838</v>
      </c>
      <c r="L157">
        <v>140397</v>
      </c>
      <c r="M157">
        <v>161351</v>
      </c>
      <c r="N157">
        <v>182183</v>
      </c>
      <c r="O157">
        <v>188304</v>
      </c>
      <c r="P157">
        <v>194041</v>
      </c>
      <c r="Q157">
        <v>199798</v>
      </c>
      <c r="R157">
        <v>204436</v>
      </c>
      <c r="S157">
        <v>208454</v>
      </c>
    </row>
    <row r="158" spans="1:19" x14ac:dyDescent="0.35">
      <c r="B158" s="22"/>
      <c r="E158" s="8"/>
      <c r="F158" s="8" t="s">
        <v>2</v>
      </c>
      <c r="G158" s="8">
        <v>44855</v>
      </c>
      <c r="H158" s="8">
        <v>42751</v>
      </c>
      <c r="I158" s="8">
        <v>47284</v>
      </c>
      <c r="J158">
        <v>52079</v>
      </c>
      <c r="K158">
        <v>64646</v>
      </c>
      <c r="L158">
        <v>75245</v>
      </c>
      <c r="M158">
        <v>82787</v>
      </c>
      <c r="N158">
        <v>87221</v>
      </c>
      <c r="O158">
        <v>89616</v>
      </c>
      <c r="P158">
        <v>91464</v>
      </c>
      <c r="Q158">
        <v>93347</v>
      </c>
      <c r="R158">
        <v>95070</v>
      </c>
      <c r="S158">
        <v>96457</v>
      </c>
    </row>
    <row r="159" spans="1:19" x14ac:dyDescent="0.35">
      <c r="B159" s="22"/>
      <c r="E159" s="8"/>
      <c r="F159" s="8" t="s">
        <v>27</v>
      </c>
      <c r="G159" s="8">
        <v>107092</v>
      </c>
      <c r="H159" s="8">
        <v>112274</v>
      </c>
      <c r="I159" s="8">
        <v>124403</v>
      </c>
      <c r="J159">
        <v>139888</v>
      </c>
      <c r="K159">
        <v>168099</v>
      </c>
      <c r="L159">
        <v>201280</v>
      </c>
      <c r="M159">
        <v>236469</v>
      </c>
      <c r="N159">
        <v>271797</v>
      </c>
      <c r="O159">
        <v>282569</v>
      </c>
      <c r="P159">
        <v>290425</v>
      </c>
      <c r="Q159">
        <v>295356</v>
      </c>
      <c r="R159">
        <v>298031</v>
      </c>
      <c r="S159">
        <v>300622</v>
      </c>
    </row>
    <row r="160" spans="1:19" x14ac:dyDescent="0.35">
      <c r="B160" s="22"/>
      <c r="E160" s="30"/>
      <c r="F160" s="30" t="s">
        <v>3</v>
      </c>
      <c r="G160" s="30">
        <v>151237</v>
      </c>
      <c r="H160" s="30">
        <v>174970</v>
      </c>
      <c r="I160" s="30">
        <v>211649</v>
      </c>
      <c r="J160" s="30">
        <v>262223</v>
      </c>
      <c r="K160" s="30">
        <v>327457</v>
      </c>
      <c r="L160" s="30">
        <v>390780</v>
      </c>
      <c r="M160" s="30">
        <v>445732</v>
      </c>
      <c r="N160" s="30">
        <v>493040</v>
      </c>
      <c r="O160" s="30">
        <v>479838</v>
      </c>
      <c r="P160" s="30">
        <v>469449</v>
      </c>
      <c r="Q160" s="30">
        <v>465490</v>
      </c>
      <c r="R160" s="30">
        <v>465729</v>
      </c>
      <c r="S160" s="30">
        <v>466775</v>
      </c>
    </row>
    <row r="161" spans="1:19" x14ac:dyDescent="0.35">
      <c r="B161" s="2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35">
      <c r="B162" s="2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35">
      <c r="A163" s="1">
        <f>A139+1</f>
        <v>2028</v>
      </c>
      <c r="B163" t="str">
        <f>CONCATENATE("(F = ",$B$5," in ",A163," onward)")</f>
        <v>(F = Fmsy proxy in 2028 onward)</v>
      </c>
      <c r="F163" s="31"/>
      <c r="G163" s="27"/>
      <c r="H163" s="27"/>
    </row>
    <row r="164" spans="1:19" x14ac:dyDescent="0.35">
      <c r="B164" s="22"/>
      <c r="E164" s="30"/>
      <c r="F164" s="30"/>
      <c r="G164" s="30">
        <v>2020</v>
      </c>
      <c r="H164" s="30">
        <v>2021</v>
      </c>
      <c r="I164" s="30">
        <v>2022</v>
      </c>
      <c r="J164" s="30">
        <v>2023</v>
      </c>
      <c r="K164" s="30">
        <v>2024</v>
      </c>
      <c r="L164" s="30">
        <v>2025</v>
      </c>
      <c r="M164" s="30">
        <v>2026</v>
      </c>
      <c r="N164" s="30">
        <v>2027</v>
      </c>
      <c r="O164" s="30">
        <v>2028</v>
      </c>
      <c r="P164" s="30">
        <v>2029</v>
      </c>
      <c r="Q164" s="30">
        <v>2030</v>
      </c>
      <c r="R164" s="30">
        <v>2031</v>
      </c>
      <c r="S164" s="30">
        <v>2032</v>
      </c>
    </row>
    <row r="165" spans="1:19" x14ac:dyDescent="0.35">
      <c r="B165" t="s">
        <v>10</v>
      </c>
      <c r="C165" s="3">
        <f>HLOOKUP(($A163-1),G164:S165,2,FALSE)</f>
        <v>142214</v>
      </c>
      <c r="E165" s="8" t="s">
        <v>1</v>
      </c>
      <c r="F165" s="8" t="s">
        <v>0</v>
      </c>
      <c r="G165" s="8">
        <v>60294</v>
      </c>
      <c r="H165" s="5">
        <v>63619</v>
      </c>
      <c r="I165" s="5">
        <v>70768</v>
      </c>
      <c r="J165">
        <v>82205</v>
      </c>
      <c r="K165" s="22">
        <v>96378</v>
      </c>
      <c r="L165" s="22">
        <v>111512</v>
      </c>
      <c r="M165" s="22">
        <v>126811</v>
      </c>
      <c r="N165" s="9">
        <v>142214</v>
      </c>
      <c r="O165">
        <v>152080</v>
      </c>
      <c r="P165">
        <v>155343</v>
      </c>
      <c r="Q165">
        <v>158414</v>
      </c>
      <c r="R165">
        <v>161247</v>
      </c>
      <c r="S165">
        <v>163329</v>
      </c>
    </row>
    <row r="166" spans="1:19" x14ac:dyDescent="0.35">
      <c r="B166" t="s">
        <v>14</v>
      </c>
      <c r="C166" s="3">
        <f>HLOOKUP($A163,G164:S173,10,FALSE)</f>
        <v>28554</v>
      </c>
      <c r="E166" s="8"/>
      <c r="F166" s="8" t="s">
        <v>2</v>
      </c>
      <c r="G166" s="8">
        <v>25841</v>
      </c>
      <c r="H166" s="5">
        <v>24764</v>
      </c>
      <c r="I166" s="5">
        <v>29101</v>
      </c>
      <c r="J166">
        <v>36694</v>
      </c>
      <c r="K166">
        <v>47534</v>
      </c>
      <c r="L166">
        <v>56441</v>
      </c>
      <c r="M166">
        <v>62149</v>
      </c>
      <c r="N166">
        <v>64428</v>
      </c>
      <c r="O166">
        <v>65794</v>
      </c>
      <c r="P166">
        <v>67922</v>
      </c>
      <c r="Q166">
        <v>69721</v>
      </c>
      <c r="R166">
        <v>71319</v>
      </c>
      <c r="S166">
        <v>72694</v>
      </c>
    </row>
    <row r="167" spans="1:19" x14ac:dyDescent="0.35">
      <c r="B167" t="s">
        <v>15</v>
      </c>
      <c r="C167" s="22">
        <f>C165/$C$6</f>
        <v>0.78532221547296921</v>
      </c>
      <c r="E167" s="8"/>
      <c r="F167" s="8" t="s">
        <v>27</v>
      </c>
      <c r="G167" s="8">
        <v>80434</v>
      </c>
      <c r="H167" s="5">
        <v>86837</v>
      </c>
      <c r="I167" s="5">
        <v>95989</v>
      </c>
      <c r="J167">
        <v>112134</v>
      </c>
      <c r="K167">
        <v>133901</v>
      </c>
      <c r="L167">
        <v>158744</v>
      </c>
      <c r="M167">
        <v>185028</v>
      </c>
      <c r="N167">
        <v>213972</v>
      </c>
      <c r="O167">
        <v>232290</v>
      </c>
      <c r="P167">
        <v>236533</v>
      </c>
      <c r="Q167">
        <v>238169</v>
      </c>
      <c r="R167">
        <v>238090</v>
      </c>
      <c r="S167">
        <v>236412</v>
      </c>
    </row>
    <row r="168" spans="1:19" x14ac:dyDescent="0.35">
      <c r="B168" s="22" t="s">
        <v>12</v>
      </c>
      <c r="C168" s="23">
        <f>$C$19</f>
        <v>1.5</v>
      </c>
      <c r="E168" s="8"/>
      <c r="F168" s="8" t="s">
        <v>3</v>
      </c>
      <c r="G168" s="8">
        <v>119119</v>
      </c>
      <c r="H168" s="5">
        <v>136007</v>
      </c>
      <c r="I168" s="5">
        <v>161248</v>
      </c>
      <c r="J168">
        <v>199481</v>
      </c>
      <c r="K168">
        <v>254598</v>
      </c>
      <c r="L168">
        <v>323692</v>
      </c>
      <c r="M168">
        <v>379844</v>
      </c>
      <c r="N168">
        <v>423547</v>
      </c>
      <c r="O168">
        <v>432852</v>
      </c>
      <c r="P168">
        <v>407924</v>
      </c>
      <c r="Q168">
        <v>391181</v>
      </c>
      <c r="R168">
        <v>381607</v>
      </c>
      <c r="S168">
        <v>378118</v>
      </c>
    </row>
    <row r="169" spans="1:19" x14ac:dyDescent="0.35">
      <c r="B169" t="s">
        <v>16</v>
      </c>
      <c r="C169">
        <f>SQRT(LN(C168^2+1))</f>
        <v>1.085658784490618</v>
      </c>
      <c r="E169" s="29" t="s">
        <v>9</v>
      </c>
      <c r="F169" s="29" t="s">
        <v>0</v>
      </c>
      <c r="G169" s="29">
        <v>0.38</v>
      </c>
      <c r="H169" s="32">
        <v>0.23</v>
      </c>
      <c r="I169" s="32">
        <v>0.21</v>
      </c>
      <c r="J169" s="29">
        <v>7.0000000000000007E-2</v>
      </c>
      <c r="K169" s="29">
        <v>0.08</v>
      </c>
      <c r="L169" s="29">
        <v>0.09</v>
      </c>
      <c r="M169" s="29">
        <v>0.1</v>
      </c>
      <c r="N169" s="29">
        <v>0.12</v>
      </c>
      <c r="O169" s="29">
        <v>0.22</v>
      </c>
      <c r="P169" s="29">
        <v>0.22</v>
      </c>
      <c r="Q169" s="29">
        <v>0.22</v>
      </c>
      <c r="R169" s="29">
        <v>0.22</v>
      </c>
      <c r="S169" s="29">
        <v>0.22</v>
      </c>
    </row>
    <row r="170" spans="1:19" x14ac:dyDescent="0.35">
      <c r="A170" s="1"/>
      <c r="B170" t="s">
        <v>17</v>
      </c>
      <c r="C170" s="6">
        <f>IF(C167&gt;=1.5,0.49,IF(C167&lt;0.1,0,IF(C167&lt;1,-0.05+0.5*C167,0.08*(C167)+0.37)))</f>
        <v>0.34266110773648462</v>
      </c>
      <c r="E170" s="8"/>
      <c r="F170" s="8" t="s">
        <v>2</v>
      </c>
      <c r="G170" s="8">
        <v>0.19</v>
      </c>
      <c r="H170" s="5">
        <v>0.11</v>
      </c>
      <c r="I170" s="5">
        <v>0.09</v>
      </c>
      <c r="J170" s="8">
        <v>0.03</v>
      </c>
      <c r="K170" s="8">
        <v>0.03</v>
      </c>
      <c r="L170" s="8">
        <v>0.03</v>
      </c>
      <c r="M170" s="8">
        <v>0.04</v>
      </c>
      <c r="N170" s="8">
        <v>0.04</v>
      </c>
      <c r="O170" s="8">
        <v>0.22</v>
      </c>
      <c r="P170" s="8">
        <v>0.22</v>
      </c>
      <c r="Q170" s="8">
        <v>0.22</v>
      </c>
      <c r="R170" s="8">
        <v>0.22</v>
      </c>
      <c r="S170" s="8">
        <v>0.22</v>
      </c>
    </row>
    <row r="171" spans="1:19" x14ac:dyDescent="0.35">
      <c r="B171" s="1" t="s">
        <v>7</v>
      </c>
      <c r="C171" s="24">
        <f>_xlfn.LOGNORM.INV(C170,LN(C166),C169)</f>
        <v>18391.265439028666</v>
      </c>
      <c r="E171" s="8"/>
      <c r="F171" s="8" t="s">
        <v>27</v>
      </c>
      <c r="G171" s="8">
        <v>0.51</v>
      </c>
      <c r="H171" s="5">
        <v>0.33</v>
      </c>
      <c r="I171" s="5">
        <v>0.28999999999999998</v>
      </c>
      <c r="J171" s="5">
        <v>0.09</v>
      </c>
      <c r="K171" s="8">
        <v>0.1</v>
      </c>
      <c r="L171" s="8">
        <v>0.12</v>
      </c>
      <c r="M171" s="8">
        <v>0.14000000000000001</v>
      </c>
      <c r="N171" s="8">
        <v>0.17</v>
      </c>
      <c r="O171" s="8">
        <v>0.22</v>
      </c>
      <c r="P171" s="8">
        <v>0.22</v>
      </c>
      <c r="Q171" s="8">
        <v>0.22</v>
      </c>
      <c r="R171" s="8">
        <v>0.22</v>
      </c>
      <c r="S171" s="8">
        <v>0.22</v>
      </c>
    </row>
    <row r="172" spans="1:19" x14ac:dyDescent="0.35">
      <c r="B172" s="1" t="s">
        <v>18</v>
      </c>
      <c r="C172">
        <f>C171/C166</f>
        <v>0.64408718354796757</v>
      </c>
      <c r="E172" s="30"/>
      <c r="F172" s="30" t="s">
        <v>3</v>
      </c>
      <c r="G172" s="30">
        <v>0.89</v>
      </c>
      <c r="H172" s="37">
        <v>0.63</v>
      </c>
      <c r="I172" s="37">
        <v>0.54</v>
      </c>
      <c r="J172" s="30">
        <v>0.16</v>
      </c>
      <c r="K172" s="30">
        <v>0.16</v>
      </c>
      <c r="L172" s="30">
        <v>0.18</v>
      </c>
      <c r="M172" s="30">
        <v>0.22</v>
      </c>
      <c r="N172" s="30">
        <v>0.27</v>
      </c>
      <c r="O172" s="30">
        <v>0.22</v>
      </c>
      <c r="P172" s="30">
        <v>0.22</v>
      </c>
      <c r="Q172" s="30">
        <v>0.22</v>
      </c>
      <c r="R172" s="30">
        <v>0.22</v>
      </c>
      <c r="S172" s="30">
        <v>0.22</v>
      </c>
    </row>
    <row r="173" spans="1:19" x14ac:dyDescent="0.35">
      <c r="B173" s="22"/>
      <c r="E173" s="8" t="s">
        <v>6</v>
      </c>
      <c r="F173" s="8" t="s">
        <v>0</v>
      </c>
      <c r="G173" s="8">
        <v>18014</v>
      </c>
      <c r="H173" s="5">
        <v>12220</v>
      </c>
      <c r="I173" s="5">
        <v>12055</v>
      </c>
      <c r="J173">
        <v>4539</v>
      </c>
      <c r="K173">
        <v>6207</v>
      </c>
      <c r="L173" s="22">
        <v>8455</v>
      </c>
      <c r="M173" s="22">
        <v>11245</v>
      </c>
      <c r="N173" s="22">
        <v>14558</v>
      </c>
      <c r="O173" s="9">
        <v>28554</v>
      </c>
      <c r="P173">
        <v>29128</v>
      </c>
      <c r="Q173">
        <v>29685</v>
      </c>
      <c r="R173">
        <v>30216</v>
      </c>
      <c r="S173">
        <v>30610</v>
      </c>
    </row>
    <row r="174" spans="1:19" x14ac:dyDescent="0.35">
      <c r="B174" s="39" t="s">
        <v>28</v>
      </c>
      <c r="C174" s="40">
        <f>ROUND(C171,0)</f>
        <v>18391</v>
      </c>
      <c r="E174" s="8"/>
      <c r="F174" s="8" t="s">
        <v>2</v>
      </c>
      <c r="G174" s="8">
        <v>18014</v>
      </c>
      <c r="H174" s="5">
        <v>12220</v>
      </c>
      <c r="I174" s="5">
        <v>12055</v>
      </c>
      <c r="J174">
        <v>4539</v>
      </c>
      <c r="K174">
        <v>6207</v>
      </c>
      <c r="L174">
        <v>8455</v>
      </c>
      <c r="M174">
        <v>11245</v>
      </c>
      <c r="N174">
        <v>14558</v>
      </c>
      <c r="O174">
        <v>12175</v>
      </c>
      <c r="P174">
        <v>12639</v>
      </c>
      <c r="Q174">
        <v>13017</v>
      </c>
      <c r="R174">
        <v>13374</v>
      </c>
      <c r="S174">
        <v>13647</v>
      </c>
    </row>
    <row r="175" spans="1:19" x14ac:dyDescent="0.35">
      <c r="B175" s="5"/>
      <c r="E175" s="8"/>
      <c r="F175" s="8" t="s">
        <v>27</v>
      </c>
      <c r="G175" s="8">
        <v>18014</v>
      </c>
      <c r="H175" s="5">
        <v>12220</v>
      </c>
      <c r="I175" s="5">
        <v>12055</v>
      </c>
      <c r="J175">
        <v>4539</v>
      </c>
      <c r="K175">
        <v>6207</v>
      </c>
      <c r="L175">
        <v>8455</v>
      </c>
      <c r="M175">
        <v>11245</v>
      </c>
      <c r="N175">
        <v>14558</v>
      </c>
      <c r="O175">
        <v>43276</v>
      </c>
      <c r="P175">
        <v>43952</v>
      </c>
      <c r="Q175">
        <v>44519</v>
      </c>
      <c r="R175">
        <v>44497</v>
      </c>
      <c r="S175">
        <v>44296</v>
      </c>
    </row>
    <row r="176" spans="1:19" x14ac:dyDescent="0.35">
      <c r="B176" s="5"/>
      <c r="E176" s="8"/>
      <c r="F176" s="8" t="s">
        <v>3</v>
      </c>
      <c r="G176" s="8">
        <v>18014</v>
      </c>
      <c r="H176" s="8">
        <v>12220</v>
      </c>
      <c r="I176" s="8">
        <v>12055</v>
      </c>
      <c r="J176">
        <v>4539</v>
      </c>
      <c r="K176">
        <v>6207</v>
      </c>
      <c r="L176">
        <v>8455</v>
      </c>
      <c r="M176">
        <v>11245</v>
      </c>
      <c r="N176">
        <v>14558</v>
      </c>
      <c r="O176">
        <v>81266</v>
      </c>
      <c r="P176">
        <v>76595</v>
      </c>
      <c r="Q176">
        <v>73014</v>
      </c>
      <c r="R176">
        <v>70766</v>
      </c>
      <c r="S176">
        <v>69629</v>
      </c>
    </row>
    <row r="177" spans="1:19" x14ac:dyDescent="0.35">
      <c r="B177" s="5"/>
      <c r="E177" s="29" t="s">
        <v>4</v>
      </c>
      <c r="F177" s="29" t="s">
        <v>0</v>
      </c>
      <c r="G177" s="29">
        <v>131006</v>
      </c>
      <c r="H177" s="29">
        <v>131990</v>
      </c>
      <c r="I177" s="29">
        <v>133111</v>
      </c>
      <c r="J177" s="29">
        <v>135448</v>
      </c>
      <c r="K177" s="29">
        <v>139807</v>
      </c>
      <c r="L177" s="29">
        <v>145563</v>
      </c>
      <c r="M177" s="29">
        <v>146515</v>
      </c>
      <c r="N177" s="29">
        <v>147180</v>
      </c>
      <c r="O177" s="29">
        <v>147321</v>
      </c>
      <c r="P177" s="29">
        <v>149805</v>
      </c>
      <c r="Q177" s="29">
        <v>151744</v>
      </c>
      <c r="R177" s="29">
        <v>152843</v>
      </c>
      <c r="S177" s="29">
        <v>154023</v>
      </c>
    </row>
    <row r="178" spans="1:19" x14ac:dyDescent="0.35">
      <c r="B178" s="5"/>
      <c r="E178" s="8"/>
      <c r="F178" s="8" t="s">
        <v>2</v>
      </c>
      <c r="G178" s="8">
        <v>26674</v>
      </c>
      <c r="H178" s="8">
        <v>26748</v>
      </c>
      <c r="I178" s="8">
        <v>26796</v>
      </c>
      <c r="J178" s="8">
        <v>26979</v>
      </c>
      <c r="K178" s="8">
        <v>27290</v>
      </c>
      <c r="L178" s="8">
        <v>28293</v>
      </c>
      <c r="M178" s="8">
        <v>29555</v>
      </c>
      <c r="N178" s="8">
        <v>30289</v>
      </c>
      <c r="O178" s="8">
        <v>30826</v>
      </c>
      <c r="P178" s="8">
        <v>31054</v>
      </c>
      <c r="Q178" s="8">
        <v>31445</v>
      </c>
      <c r="R178" s="8">
        <v>31696</v>
      </c>
      <c r="S178" s="8">
        <v>32110</v>
      </c>
    </row>
    <row r="179" spans="1:19" x14ac:dyDescent="0.35">
      <c r="B179" s="22"/>
      <c r="E179" s="8"/>
      <c r="F179" s="8" t="s">
        <v>27</v>
      </c>
      <c r="G179" s="8">
        <v>151002</v>
      </c>
      <c r="H179" s="8">
        <v>155867</v>
      </c>
      <c r="I179" s="8">
        <v>163702</v>
      </c>
      <c r="J179" s="8">
        <v>173567</v>
      </c>
      <c r="K179" s="8">
        <v>187455</v>
      </c>
      <c r="L179" s="8">
        <v>199515</v>
      </c>
      <c r="M179" s="8">
        <v>205484</v>
      </c>
      <c r="N179" s="8">
        <v>210200</v>
      </c>
      <c r="O179" s="8">
        <v>211838</v>
      </c>
      <c r="P179" s="8">
        <v>216072</v>
      </c>
      <c r="Q179" s="8">
        <v>216754</v>
      </c>
      <c r="R179" s="8">
        <v>218912</v>
      </c>
      <c r="S179" s="8">
        <v>220141</v>
      </c>
    </row>
    <row r="180" spans="1:19" x14ac:dyDescent="0.35">
      <c r="B180" s="22"/>
      <c r="E180" s="30"/>
      <c r="F180" s="30" t="s">
        <v>3</v>
      </c>
      <c r="G180" s="30">
        <v>350002</v>
      </c>
      <c r="H180" s="30">
        <v>367731</v>
      </c>
      <c r="I180" s="30">
        <v>376041</v>
      </c>
      <c r="J180" s="30">
        <v>464582</v>
      </c>
      <c r="K180" s="30">
        <v>534608</v>
      </c>
      <c r="L180" s="30">
        <v>712652</v>
      </c>
      <c r="M180" s="30">
        <v>808458</v>
      </c>
      <c r="N180" s="30">
        <v>883783</v>
      </c>
      <c r="O180" s="30">
        <v>892285</v>
      </c>
      <c r="P180" s="30">
        <v>939017</v>
      </c>
      <c r="Q180" s="30">
        <v>934794</v>
      </c>
      <c r="R180" s="30">
        <v>965382</v>
      </c>
      <c r="S180" s="30">
        <v>970801</v>
      </c>
    </row>
    <row r="181" spans="1:19" x14ac:dyDescent="0.35">
      <c r="B181" s="22"/>
      <c r="E181" s="8" t="s">
        <v>5</v>
      </c>
      <c r="F181" s="8" t="s">
        <v>0</v>
      </c>
      <c r="G181" s="8">
        <v>84112</v>
      </c>
      <c r="H181" s="8">
        <v>86380</v>
      </c>
      <c r="I181" s="8">
        <v>94862</v>
      </c>
      <c r="J181">
        <v>103876</v>
      </c>
      <c r="K181">
        <v>120838</v>
      </c>
      <c r="L181">
        <v>140397</v>
      </c>
      <c r="M181">
        <v>161351</v>
      </c>
      <c r="N181">
        <v>182183</v>
      </c>
      <c r="O181">
        <v>201027</v>
      </c>
      <c r="P181">
        <v>205132</v>
      </c>
      <c r="Q181">
        <v>208949</v>
      </c>
      <c r="R181">
        <v>212102</v>
      </c>
      <c r="S181">
        <v>214829</v>
      </c>
    </row>
    <row r="182" spans="1:19" x14ac:dyDescent="0.35">
      <c r="B182" s="22"/>
      <c r="E182" s="8"/>
      <c r="F182" s="8" t="s">
        <v>2</v>
      </c>
      <c r="G182" s="8">
        <v>44855</v>
      </c>
      <c r="H182" s="8">
        <v>42751</v>
      </c>
      <c r="I182" s="8">
        <v>47284</v>
      </c>
      <c r="J182">
        <v>52079</v>
      </c>
      <c r="K182">
        <v>64646</v>
      </c>
      <c r="L182">
        <v>75245</v>
      </c>
      <c r="M182">
        <v>82787</v>
      </c>
      <c r="N182">
        <v>87221</v>
      </c>
      <c r="O182">
        <v>87732</v>
      </c>
      <c r="P182">
        <v>90447</v>
      </c>
      <c r="Q182">
        <v>92935</v>
      </c>
      <c r="R182">
        <v>95054</v>
      </c>
      <c r="S182">
        <v>96890</v>
      </c>
    </row>
    <row r="183" spans="1:19" x14ac:dyDescent="0.35">
      <c r="B183" s="22"/>
      <c r="E183" s="8"/>
      <c r="F183" s="8" t="s">
        <v>27</v>
      </c>
      <c r="G183" s="8">
        <v>107092</v>
      </c>
      <c r="H183" s="8">
        <v>112274</v>
      </c>
      <c r="I183" s="8">
        <v>124403</v>
      </c>
      <c r="J183">
        <v>139888</v>
      </c>
      <c r="K183">
        <v>168099</v>
      </c>
      <c r="L183">
        <v>201280</v>
      </c>
      <c r="M183">
        <v>236469</v>
      </c>
      <c r="N183">
        <v>271797</v>
      </c>
      <c r="O183">
        <v>306598</v>
      </c>
      <c r="P183">
        <v>310398</v>
      </c>
      <c r="Q183">
        <v>311075</v>
      </c>
      <c r="R183">
        <v>309938</v>
      </c>
      <c r="S183">
        <v>308686</v>
      </c>
    </row>
    <row r="184" spans="1:19" x14ac:dyDescent="0.35">
      <c r="B184" s="22"/>
      <c r="E184" s="30"/>
      <c r="F184" s="30" t="s">
        <v>3</v>
      </c>
      <c r="G184" s="30">
        <v>151237</v>
      </c>
      <c r="H184" s="30">
        <v>174970</v>
      </c>
      <c r="I184" s="30">
        <v>211649</v>
      </c>
      <c r="J184" s="30">
        <v>262223</v>
      </c>
      <c r="K184" s="30">
        <v>327457</v>
      </c>
      <c r="L184" s="30">
        <v>390780</v>
      </c>
      <c r="M184" s="30">
        <v>445732</v>
      </c>
      <c r="N184" s="30">
        <v>493040</v>
      </c>
      <c r="O184" s="30">
        <v>534944</v>
      </c>
      <c r="P184" s="30">
        <v>507633</v>
      </c>
      <c r="Q184" s="30">
        <v>489967</v>
      </c>
      <c r="R184" s="30">
        <v>480087</v>
      </c>
      <c r="S184" s="30">
        <v>475947</v>
      </c>
    </row>
    <row r="185" spans="1:19" x14ac:dyDescent="0.35">
      <c r="B185" s="2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35">
      <c r="B186" s="2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35">
      <c r="A187" s="1">
        <f>A163+1</f>
        <v>2029</v>
      </c>
      <c r="B187" t="str">
        <f>CONCATENATE("(F = ",$B$5," in ",A187," onward)")</f>
        <v>(F = Fmsy proxy in 2029 onward)</v>
      </c>
      <c r="F187" s="31"/>
      <c r="G187" s="27"/>
      <c r="H187" s="27"/>
    </row>
    <row r="188" spans="1:19" x14ac:dyDescent="0.35">
      <c r="B188" s="22"/>
      <c r="E188" s="30"/>
      <c r="F188" s="30"/>
      <c r="G188" s="30">
        <v>2020</v>
      </c>
      <c r="H188" s="30">
        <v>2021</v>
      </c>
      <c r="I188" s="30">
        <v>2022</v>
      </c>
      <c r="J188" s="30">
        <v>2023</v>
      </c>
      <c r="K188" s="30">
        <v>2024</v>
      </c>
      <c r="L188" s="30">
        <v>2025</v>
      </c>
      <c r="M188" s="30">
        <v>2026</v>
      </c>
      <c r="N188" s="30">
        <v>2027</v>
      </c>
      <c r="O188" s="30">
        <v>2028</v>
      </c>
      <c r="P188" s="30">
        <v>2029</v>
      </c>
      <c r="Q188" s="30">
        <v>2030</v>
      </c>
      <c r="R188" s="30">
        <v>2031</v>
      </c>
      <c r="S188" s="30">
        <v>2032</v>
      </c>
    </row>
    <row r="189" spans="1:19" x14ac:dyDescent="0.35">
      <c r="B189" t="s">
        <v>10</v>
      </c>
      <c r="C189" s="3">
        <f>HLOOKUP(($A187-1),G188:S189,2,FALSE)</f>
        <v>156433</v>
      </c>
      <c r="E189" s="8" t="s">
        <v>1</v>
      </c>
      <c r="F189" s="8" t="s">
        <v>0</v>
      </c>
      <c r="G189" s="8">
        <v>60294</v>
      </c>
      <c r="H189" s="5">
        <v>63619</v>
      </c>
      <c r="I189" s="5">
        <v>70768</v>
      </c>
      <c r="J189">
        <v>82205</v>
      </c>
      <c r="K189" s="22">
        <v>96378</v>
      </c>
      <c r="L189" s="22">
        <v>111512</v>
      </c>
      <c r="M189" s="22">
        <v>126811</v>
      </c>
      <c r="N189" s="22">
        <v>142214</v>
      </c>
      <c r="O189" s="9">
        <v>156433</v>
      </c>
      <c r="P189">
        <v>164659</v>
      </c>
      <c r="Q189">
        <v>166400</v>
      </c>
      <c r="R189">
        <v>167620</v>
      </c>
      <c r="S189">
        <v>168302</v>
      </c>
    </row>
    <row r="190" spans="1:19" x14ac:dyDescent="0.35">
      <c r="B190" t="s">
        <v>14</v>
      </c>
      <c r="C190" s="3">
        <f>HLOOKUP($A187,G188:S197,10,FALSE)</f>
        <v>30951</v>
      </c>
      <c r="E190" s="8"/>
      <c r="F190" s="8" t="s">
        <v>2</v>
      </c>
      <c r="G190" s="8">
        <v>25841</v>
      </c>
      <c r="H190" s="5">
        <v>24764</v>
      </c>
      <c r="I190" s="5">
        <v>29101</v>
      </c>
      <c r="J190">
        <v>36694</v>
      </c>
      <c r="K190">
        <v>47534</v>
      </c>
      <c r="L190">
        <v>56441</v>
      </c>
      <c r="M190">
        <v>62149</v>
      </c>
      <c r="N190">
        <v>64428</v>
      </c>
      <c r="O190">
        <v>63133</v>
      </c>
      <c r="P190">
        <v>62932</v>
      </c>
      <c r="Q190">
        <v>66158</v>
      </c>
      <c r="R190">
        <v>68824</v>
      </c>
      <c r="S190">
        <v>71149</v>
      </c>
    </row>
    <row r="191" spans="1:19" x14ac:dyDescent="0.35">
      <c r="B191" t="s">
        <v>15</v>
      </c>
      <c r="C191" s="22">
        <f>C189/$C$6</f>
        <v>0.86384118394168641</v>
      </c>
      <c r="E191" s="8"/>
      <c r="F191" s="8" t="s">
        <v>27</v>
      </c>
      <c r="G191" s="8">
        <v>80434</v>
      </c>
      <c r="H191" s="5">
        <v>86837</v>
      </c>
      <c r="I191" s="5">
        <v>95989</v>
      </c>
      <c r="J191">
        <v>112134</v>
      </c>
      <c r="K191">
        <v>133901</v>
      </c>
      <c r="L191">
        <v>158744</v>
      </c>
      <c r="M191">
        <v>185028</v>
      </c>
      <c r="N191">
        <v>213972</v>
      </c>
      <c r="O191">
        <v>242790</v>
      </c>
      <c r="P191">
        <v>258788</v>
      </c>
      <c r="Q191">
        <v>256400</v>
      </c>
      <c r="R191">
        <v>252065</v>
      </c>
      <c r="S191">
        <v>246210</v>
      </c>
    </row>
    <row r="192" spans="1:19" x14ac:dyDescent="0.35">
      <c r="B192" s="22" t="s">
        <v>12</v>
      </c>
      <c r="C192" s="23">
        <f>$C$19</f>
        <v>1.5</v>
      </c>
      <c r="E192" s="8"/>
      <c r="F192" s="8" t="s">
        <v>3</v>
      </c>
      <c r="G192" s="8">
        <v>119119</v>
      </c>
      <c r="H192" s="5">
        <v>136007</v>
      </c>
      <c r="I192" s="5">
        <v>161248</v>
      </c>
      <c r="J192">
        <v>199481</v>
      </c>
      <c r="K192">
        <v>254598</v>
      </c>
      <c r="L192">
        <v>323692</v>
      </c>
      <c r="M192">
        <v>379844</v>
      </c>
      <c r="N192">
        <v>423547</v>
      </c>
      <c r="O192">
        <v>459314</v>
      </c>
      <c r="P192">
        <v>458952</v>
      </c>
      <c r="Q192">
        <v>426370</v>
      </c>
      <c r="R192">
        <v>403198</v>
      </c>
      <c r="S192">
        <v>390877</v>
      </c>
    </row>
    <row r="193" spans="1:19" x14ac:dyDescent="0.35">
      <c r="B193" t="s">
        <v>16</v>
      </c>
      <c r="C193">
        <f>SQRT(LN(C192^2+1))</f>
        <v>1.085658784490618</v>
      </c>
      <c r="E193" s="29" t="s">
        <v>9</v>
      </c>
      <c r="F193" s="29" t="s">
        <v>0</v>
      </c>
      <c r="G193" s="29">
        <v>0.38</v>
      </c>
      <c r="H193" s="32">
        <v>0.23</v>
      </c>
      <c r="I193" s="32">
        <v>0.21</v>
      </c>
      <c r="J193" s="29">
        <v>7.0000000000000007E-2</v>
      </c>
      <c r="K193" s="29">
        <v>0.08</v>
      </c>
      <c r="L193" s="29">
        <v>0.09</v>
      </c>
      <c r="M193" s="29">
        <v>0.1</v>
      </c>
      <c r="N193" s="29">
        <v>0.12</v>
      </c>
      <c r="O193" s="29">
        <v>0.14000000000000001</v>
      </c>
      <c r="P193" s="29">
        <v>0.22</v>
      </c>
      <c r="Q193" s="29">
        <v>0.22</v>
      </c>
      <c r="R193" s="29">
        <v>0.22</v>
      </c>
      <c r="S193" s="29">
        <v>0.22</v>
      </c>
    </row>
    <row r="194" spans="1:19" x14ac:dyDescent="0.35">
      <c r="A194" s="1"/>
      <c r="B194" t="s">
        <v>17</v>
      </c>
      <c r="C194" s="6">
        <f>IF(C191&gt;=1.5,0.49,IF(C191&lt;0.1,0,IF(C191&lt;1,-0.05+0.5*C191,0.08*(C191)+0.37)))</f>
        <v>0.38192059197084322</v>
      </c>
      <c r="E194" s="8"/>
      <c r="F194" s="8" t="s">
        <v>2</v>
      </c>
      <c r="G194" s="8">
        <v>0.19</v>
      </c>
      <c r="H194" s="5">
        <v>0.11</v>
      </c>
      <c r="I194" s="5">
        <v>0.09</v>
      </c>
      <c r="J194" s="8">
        <v>0.03</v>
      </c>
      <c r="K194" s="8">
        <v>0.03</v>
      </c>
      <c r="L194" s="8">
        <v>0.03</v>
      </c>
      <c r="M194" s="8">
        <v>0.04</v>
      </c>
      <c r="N194" s="8">
        <v>0.04</v>
      </c>
      <c r="O194" s="8">
        <v>0.05</v>
      </c>
      <c r="P194" s="8">
        <v>0.22</v>
      </c>
      <c r="Q194" s="8">
        <v>0.22</v>
      </c>
      <c r="R194" s="8">
        <v>0.22</v>
      </c>
      <c r="S194" s="8">
        <v>0.22</v>
      </c>
    </row>
    <row r="195" spans="1:19" x14ac:dyDescent="0.35">
      <c r="B195" s="1" t="s">
        <v>7</v>
      </c>
      <c r="C195" s="24">
        <f>_xlfn.LOGNORM.INV(C194,LN(C190),C193)</f>
        <v>22336.663984411902</v>
      </c>
      <c r="E195" s="8"/>
      <c r="F195" s="8" t="s">
        <v>27</v>
      </c>
      <c r="G195" s="8">
        <v>0.51</v>
      </c>
      <c r="H195" s="5">
        <v>0.33</v>
      </c>
      <c r="I195" s="5">
        <v>0.28999999999999998</v>
      </c>
      <c r="J195" s="5">
        <v>0.09</v>
      </c>
      <c r="K195" s="8">
        <v>0.1</v>
      </c>
      <c r="L195" s="8">
        <v>0.12</v>
      </c>
      <c r="M195" s="8">
        <v>0.14000000000000001</v>
      </c>
      <c r="N195" s="8">
        <v>0.17</v>
      </c>
      <c r="O195" s="8">
        <v>0.21</v>
      </c>
      <c r="P195" s="8">
        <v>0.22</v>
      </c>
      <c r="Q195" s="8">
        <v>0.22</v>
      </c>
      <c r="R195" s="8">
        <v>0.22</v>
      </c>
      <c r="S195" s="8">
        <v>0.22</v>
      </c>
    </row>
    <row r="196" spans="1:19" x14ac:dyDescent="0.35">
      <c r="B196" s="1" t="s">
        <v>18</v>
      </c>
      <c r="C196">
        <f>C195/C190</f>
        <v>0.72167826514206013</v>
      </c>
      <c r="E196" s="30"/>
      <c r="F196" s="30" t="s">
        <v>3</v>
      </c>
      <c r="G196" s="30">
        <v>0.89</v>
      </c>
      <c r="H196" s="37">
        <v>0.63</v>
      </c>
      <c r="I196" s="37">
        <v>0.54</v>
      </c>
      <c r="J196" s="30">
        <v>0.16</v>
      </c>
      <c r="K196" s="30">
        <v>0.16</v>
      </c>
      <c r="L196" s="30">
        <v>0.18</v>
      </c>
      <c r="M196" s="30">
        <v>0.22</v>
      </c>
      <c r="N196" s="30">
        <v>0.27</v>
      </c>
      <c r="O196" s="30">
        <v>0.35</v>
      </c>
      <c r="P196" s="30">
        <v>0.22</v>
      </c>
      <c r="Q196" s="30">
        <v>0.22</v>
      </c>
      <c r="R196" s="30">
        <v>0.22</v>
      </c>
      <c r="S196" s="30">
        <v>0.22</v>
      </c>
    </row>
    <row r="197" spans="1:19" x14ac:dyDescent="0.35">
      <c r="B197" s="22"/>
      <c r="E197" s="8" t="s">
        <v>6</v>
      </c>
      <c r="F197" s="8" t="s">
        <v>0</v>
      </c>
      <c r="G197" s="8">
        <v>18014</v>
      </c>
      <c r="H197" s="5">
        <v>12220</v>
      </c>
      <c r="I197" s="5">
        <v>12055</v>
      </c>
      <c r="J197">
        <v>4539</v>
      </c>
      <c r="K197">
        <v>6207</v>
      </c>
      <c r="L197" s="22">
        <v>8455</v>
      </c>
      <c r="M197" s="22">
        <v>11245</v>
      </c>
      <c r="N197" s="22">
        <v>14558</v>
      </c>
      <c r="O197" s="22">
        <v>18391</v>
      </c>
      <c r="P197" s="9">
        <v>30951</v>
      </c>
      <c r="Q197">
        <v>31254</v>
      </c>
      <c r="R197">
        <v>31518</v>
      </c>
      <c r="S197">
        <v>31659</v>
      </c>
    </row>
    <row r="198" spans="1:19" x14ac:dyDescent="0.35">
      <c r="B198" s="39" t="s">
        <v>28</v>
      </c>
      <c r="C198" s="40">
        <f>ROUND(C195,0)</f>
        <v>22337</v>
      </c>
      <c r="E198" s="8"/>
      <c r="F198" s="8" t="s">
        <v>2</v>
      </c>
      <c r="G198" s="8">
        <v>18014</v>
      </c>
      <c r="H198" s="5">
        <v>12220</v>
      </c>
      <c r="I198" s="5">
        <v>12055</v>
      </c>
      <c r="J198">
        <v>4539</v>
      </c>
      <c r="K198">
        <v>6207</v>
      </c>
      <c r="L198">
        <v>8455</v>
      </c>
      <c r="M198">
        <v>11245</v>
      </c>
      <c r="N198">
        <v>14558</v>
      </c>
      <c r="O198">
        <v>18391</v>
      </c>
      <c r="P198">
        <v>11615</v>
      </c>
      <c r="Q198">
        <v>12247</v>
      </c>
      <c r="R198">
        <v>12805</v>
      </c>
      <c r="S198">
        <v>13251</v>
      </c>
    </row>
    <row r="199" spans="1:19" x14ac:dyDescent="0.35">
      <c r="B199" s="5"/>
      <c r="E199" s="8"/>
      <c r="F199" s="8" t="s">
        <v>27</v>
      </c>
      <c r="G199" s="8">
        <v>18014</v>
      </c>
      <c r="H199" s="5">
        <v>12220</v>
      </c>
      <c r="I199" s="5">
        <v>12055</v>
      </c>
      <c r="J199">
        <v>4539</v>
      </c>
      <c r="K199">
        <v>6207</v>
      </c>
      <c r="L199">
        <v>8455</v>
      </c>
      <c r="M199">
        <v>11245</v>
      </c>
      <c r="N199">
        <v>14558</v>
      </c>
      <c r="O199">
        <v>18391</v>
      </c>
      <c r="P199">
        <v>48247</v>
      </c>
      <c r="Q199">
        <v>48067</v>
      </c>
      <c r="R199">
        <v>47348</v>
      </c>
      <c r="S199">
        <v>46392</v>
      </c>
    </row>
    <row r="200" spans="1:19" x14ac:dyDescent="0.35">
      <c r="B200" s="5"/>
      <c r="E200" s="8"/>
      <c r="F200" s="8" t="s">
        <v>3</v>
      </c>
      <c r="G200" s="8">
        <v>18014</v>
      </c>
      <c r="H200" s="8">
        <v>12220</v>
      </c>
      <c r="I200" s="8">
        <v>12055</v>
      </c>
      <c r="J200">
        <v>4539</v>
      </c>
      <c r="K200">
        <v>6207</v>
      </c>
      <c r="L200">
        <v>8455</v>
      </c>
      <c r="M200">
        <v>11245</v>
      </c>
      <c r="N200">
        <v>14558</v>
      </c>
      <c r="O200">
        <v>18391</v>
      </c>
      <c r="P200">
        <v>86967</v>
      </c>
      <c r="Q200">
        <v>80522</v>
      </c>
      <c r="R200">
        <v>75607</v>
      </c>
      <c r="S200">
        <v>72698</v>
      </c>
    </row>
    <row r="201" spans="1:19" x14ac:dyDescent="0.35">
      <c r="B201" s="5"/>
      <c r="E201" s="29" t="s">
        <v>4</v>
      </c>
      <c r="F201" s="29" t="s">
        <v>0</v>
      </c>
      <c r="G201" s="29">
        <v>131006</v>
      </c>
      <c r="H201" s="29">
        <v>131990</v>
      </c>
      <c r="I201" s="29">
        <v>133111</v>
      </c>
      <c r="J201" s="29">
        <v>135448</v>
      </c>
      <c r="K201" s="29">
        <v>139807</v>
      </c>
      <c r="L201" s="29">
        <v>145563</v>
      </c>
      <c r="M201" s="29">
        <v>146515</v>
      </c>
      <c r="N201" s="29">
        <v>147180</v>
      </c>
      <c r="O201" s="29">
        <v>147259</v>
      </c>
      <c r="P201" s="29">
        <v>148963</v>
      </c>
      <c r="Q201" s="29">
        <v>150840</v>
      </c>
      <c r="R201" s="29">
        <v>152046</v>
      </c>
      <c r="S201" s="29">
        <v>153451</v>
      </c>
    </row>
    <row r="202" spans="1:19" x14ac:dyDescent="0.35">
      <c r="B202" s="5"/>
      <c r="E202" s="8"/>
      <c r="F202" s="8" t="s">
        <v>2</v>
      </c>
      <c r="G202" s="8">
        <v>26674</v>
      </c>
      <c r="H202" s="8">
        <v>26748</v>
      </c>
      <c r="I202" s="8">
        <v>26796</v>
      </c>
      <c r="J202" s="8">
        <v>26979</v>
      </c>
      <c r="K202" s="8">
        <v>27290</v>
      </c>
      <c r="L202" s="8">
        <v>28293</v>
      </c>
      <c r="M202" s="8">
        <v>29555</v>
      </c>
      <c r="N202" s="8">
        <v>30289</v>
      </c>
      <c r="O202" s="8">
        <v>30753</v>
      </c>
      <c r="P202" s="8">
        <v>30877</v>
      </c>
      <c r="Q202" s="8">
        <v>31285</v>
      </c>
      <c r="R202" s="8">
        <v>31527</v>
      </c>
      <c r="S202" s="8">
        <v>31981</v>
      </c>
    </row>
    <row r="203" spans="1:19" x14ac:dyDescent="0.35">
      <c r="B203" s="22"/>
      <c r="E203" s="8"/>
      <c r="F203" s="8" t="s">
        <v>27</v>
      </c>
      <c r="G203" s="8">
        <v>151002</v>
      </c>
      <c r="H203" s="8">
        <v>155867</v>
      </c>
      <c r="I203" s="8">
        <v>163702</v>
      </c>
      <c r="J203" s="8">
        <v>173567</v>
      </c>
      <c r="K203" s="8">
        <v>187455</v>
      </c>
      <c r="L203" s="8">
        <v>199515</v>
      </c>
      <c r="M203" s="8">
        <v>205484</v>
      </c>
      <c r="N203" s="8">
        <v>210200</v>
      </c>
      <c r="O203" s="8">
        <v>211381</v>
      </c>
      <c r="P203" s="8">
        <v>214972</v>
      </c>
      <c r="Q203" s="8">
        <v>215825</v>
      </c>
      <c r="R203" s="8">
        <v>218074</v>
      </c>
      <c r="S203" s="8">
        <v>219579</v>
      </c>
    </row>
    <row r="204" spans="1:19" x14ac:dyDescent="0.35">
      <c r="B204" s="22"/>
      <c r="E204" s="30"/>
      <c r="F204" s="30" t="s">
        <v>3</v>
      </c>
      <c r="G204" s="30">
        <v>350002</v>
      </c>
      <c r="H204" s="30">
        <v>367731</v>
      </c>
      <c r="I204" s="30">
        <v>376041</v>
      </c>
      <c r="J204" s="30">
        <v>464582</v>
      </c>
      <c r="K204" s="30">
        <v>534608</v>
      </c>
      <c r="L204" s="30">
        <v>712652</v>
      </c>
      <c r="M204" s="30">
        <v>808458</v>
      </c>
      <c r="N204" s="30">
        <v>883783</v>
      </c>
      <c r="O204" s="30">
        <v>887275</v>
      </c>
      <c r="P204" s="30">
        <v>928392</v>
      </c>
      <c r="Q204" s="30">
        <v>924618</v>
      </c>
      <c r="R204" s="30">
        <v>955875</v>
      </c>
      <c r="S204" s="30">
        <v>964606</v>
      </c>
    </row>
    <row r="205" spans="1:19" x14ac:dyDescent="0.35">
      <c r="B205" s="22"/>
      <c r="E205" s="8" t="s">
        <v>5</v>
      </c>
      <c r="F205" s="8" t="s">
        <v>0</v>
      </c>
      <c r="G205" s="8">
        <v>84112</v>
      </c>
      <c r="H205" s="8">
        <v>86380</v>
      </c>
      <c r="I205" s="8">
        <v>94862</v>
      </c>
      <c r="J205">
        <v>103876</v>
      </c>
      <c r="K205">
        <v>120838</v>
      </c>
      <c r="L205">
        <v>140397</v>
      </c>
      <c r="M205">
        <v>161351</v>
      </c>
      <c r="N205">
        <v>182183</v>
      </c>
      <c r="O205">
        <v>201027</v>
      </c>
      <c r="P205">
        <v>216779</v>
      </c>
      <c r="Q205">
        <v>218782</v>
      </c>
      <c r="R205">
        <v>220100</v>
      </c>
      <c r="S205">
        <v>221014</v>
      </c>
    </row>
    <row r="206" spans="1:19" x14ac:dyDescent="0.35">
      <c r="B206" s="22"/>
      <c r="E206" s="8"/>
      <c r="F206" s="8" t="s">
        <v>2</v>
      </c>
      <c r="G206" s="8">
        <v>44855</v>
      </c>
      <c r="H206" s="8">
        <v>42751</v>
      </c>
      <c r="I206" s="8">
        <v>47284</v>
      </c>
      <c r="J206">
        <v>52079</v>
      </c>
      <c r="K206">
        <v>64646</v>
      </c>
      <c r="L206">
        <v>75245</v>
      </c>
      <c r="M206">
        <v>82787</v>
      </c>
      <c r="N206">
        <v>87221</v>
      </c>
      <c r="O206">
        <v>87732</v>
      </c>
      <c r="P206">
        <v>84742</v>
      </c>
      <c r="Q206">
        <v>88744</v>
      </c>
      <c r="R206">
        <v>92103</v>
      </c>
      <c r="S206">
        <v>94810</v>
      </c>
    </row>
    <row r="207" spans="1:19" x14ac:dyDescent="0.35">
      <c r="B207" s="22"/>
      <c r="E207" s="8"/>
      <c r="F207" s="8" t="s">
        <v>27</v>
      </c>
      <c r="G207" s="8">
        <v>107092</v>
      </c>
      <c r="H207" s="8">
        <v>112274</v>
      </c>
      <c r="I207" s="8">
        <v>124403</v>
      </c>
      <c r="J207">
        <v>139888</v>
      </c>
      <c r="K207">
        <v>168099</v>
      </c>
      <c r="L207">
        <v>201280</v>
      </c>
      <c r="M207">
        <v>236469</v>
      </c>
      <c r="N207">
        <v>271797</v>
      </c>
      <c r="O207">
        <v>306598</v>
      </c>
      <c r="P207">
        <v>335773</v>
      </c>
      <c r="Q207">
        <v>331943</v>
      </c>
      <c r="R207">
        <v>325815</v>
      </c>
      <c r="S207">
        <v>319598</v>
      </c>
    </row>
    <row r="208" spans="1:19" x14ac:dyDescent="0.35">
      <c r="B208" s="22"/>
      <c r="E208" s="30"/>
      <c r="F208" s="30" t="s">
        <v>3</v>
      </c>
      <c r="G208" s="30">
        <v>151237</v>
      </c>
      <c r="H208" s="30">
        <v>174970</v>
      </c>
      <c r="I208" s="30">
        <v>211649</v>
      </c>
      <c r="J208" s="30">
        <v>262223</v>
      </c>
      <c r="K208" s="30">
        <v>327457</v>
      </c>
      <c r="L208" s="30">
        <v>390780</v>
      </c>
      <c r="M208" s="30">
        <v>445732</v>
      </c>
      <c r="N208" s="30">
        <v>493040</v>
      </c>
      <c r="O208" s="30">
        <v>534944</v>
      </c>
      <c r="P208" s="30">
        <v>565874</v>
      </c>
      <c r="Q208" s="30">
        <v>529642</v>
      </c>
      <c r="R208" s="30">
        <v>505236</v>
      </c>
      <c r="S208" s="30">
        <v>490685</v>
      </c>
    </row>
    <row r="211" spans="1:19" x14ac:dyDescent="0.35">
      <c r="A211" s="1">
        <f>A187+1</f>
        <v>2030</v>
      </c>
      <c r="B211" t="str">
        <f>CONCATENATE("(F = ",$B$5," in ",A211," onward)")</f>
        <v>(F = Fmsy proxy in 2030 onward)</v>
      </c>
      <c r="F211" s="31"/>
      <c r="G211" s="27"/>
      <c r="H211" s="27"/>
    </row>
    <row r="212" spans="1:19" x14ac:dyDescent="0.35">
      <c r="B212" s="22"/>
      <c r="E212" s="30"/>
      <c r="F212" s="30"/>
      <c r="G212" s="30">
        <v>2020</v>
      </c>
      <c r="H212" s="30">
        <v>2021</v>
      </c>
      <c r="I212" s="30">
        <v>2022</v>
      </c>
      <c r="J212" s="30">
        <v>2023</v>
      </c>
      <c r="K212" s="30">
        <v>2024</v>
      </c>
      <c r="L212" s="30">
        <v>2025</v>
      </c>
      <c r="M212" s="30">
        <v>2026</v>
      </c>
      <c r="N212" s="30">
        <v>2027</v>
      </c>
      <c r="O212" s="30">
        <v>2028</v>
      </c>
      <c r="P212" s="30">
        <v>2029</v>
      </c>
      <c r="Q212" s="30">
        <v>2030</v>
      </c>
      <c r="R212" s="30">
        <v>2031</v>
      </c>
      <c r="S212" s="30">
        <v>2032</v>
      </c>
    </row>
    <row r="213" spans="1:19" x14ac:dyDescent="0.35">
      <c r="B213" t="s">
        <v>10</v>
      </c>
      <c r="C213" s="3">
        <f>HLOOKUP(($A211-1),G212:S213,2,FALSE)</f>
        <v>168344</v>
      </c>
      <c r="E213" s="8" t="s">
        <v>1</v>
      </c>
      <c r="F213" s="8" t="s">
        <v>0</v>
      </c>
      <c r="G213" s="8">
        <v>60294</v>
      </c>
      <c r="H213" s="5">
        <v>63619</v>
      </c>
      <c r="I213" s="5">
        <v>70768</v>
      </c>
      <c r="J213">
        <v>82205</v>
      </c>
      <c r="K213" s="22">
        <v>96378</v>
      </c>
      <c r="L213" s="22">
        <v>111512</v>
      </c>
      <c r="M213" s="22">
        <v>126811</v>
      </c>
      <c r="N213" s="22">
        <v>142214</v>
      </c>
      <c r="O213" s="22">
        <v>156433</v>
      </c>
      <c r="P213" s="9">
        <v>168344</v>
      </c>
      <c r="Q213">
        <v>174543</v>
      </c>
      <c r="R213">
        <v>174687</v>
      </c>
      <c r="S213">
        <v>173991</v>
      </c>
    </row>
    <row r="214" spans="1:19" x14ac:dyDescent="0.35">
      <c r="B214" t="s">
        <v>14</v>
      </c>
      <c r="C214" s="3">
        <f>HLOOKUP($A211,G212:S221,10,FALSE)</f>
        <v>32819</v>
      </c>
      <c r="E214" s="8"/>
      <c r="F214" s="8" t="s">
        <v>2</v>
      </c>
      <c r="G214" s="8">
        <v>25841</v>
      </c>
      <c r="H214" s="5">
        <v>24764</v>
      </c>
      <c r="I214" s="5">
        <v>29101</v>
      </c>
      <c r="J214">
        <v>36694</v>
      </c>
      <c r="K214">
        <v>47534</v>
      </c>
      <c r="L214">
        <v>56441</v>
      </c>
      <c r="M214">
        <v>62149</v>
      </c>
      <c r="N214">
        <v>64428</v>
      </c>
      <c r="O214">
        <v>63133</v>
      </c>
      <c r="P214">
        <v>58156</v>
      </c>
      <c r="Q214">
        <v>57156</v>
      </c>
      <c r="R214">
        <v>62123</v>
      </c>
      <c r="S214">
        <v>66314</v>
      </c>
    </row>
    <row r="215" spans="1:19" x14ac:dyDescent="0.35">
      <c r="B215" t="s">
        <v>15</v>
      </c>
      <c r="C215" s="22">
        <f>C213/$C$6</f>
        <v>0.92961510850958085</v>
      </c>
      <c r="E215" s="8"/>
      <c r="F215" s="8" t="s">
        <v>27</v>
      </c>
      <c r="G215" s="8">
        <v>80434</v>
      </c>
      <c r="H215" s="5">
        <v>86837</v>
      </c>
      <c r="I215" s="5">
        <v>95989</v>
      </c>
      <c r="J215">
        <v>112134</v>
      </c>
      <c r="K215">
        <v>133901</v>
      </c>
      <c r="L215">
        <v>158744</v>
      </c>
      <c r="M215">
        <v>185028</v>
      </c>
      <c r="N215">
        <v>213972</v>
      </c>
      <c r="O215">
        <v>242790</v>
      </c>
      <c r="P215">
        <v>269905</v>
      </c>
      <c r="Q215">
        <v>279654</v>
      </c>
      <c r="R215">
        <v>270445</v>
      </c>
      <c r="S215">
        <v>260074</v>
      </c>
    </row>
    <row r="216" spans="1:19" x14ac:dyDescent="0.35">
      <c r="B216" s="22" t="s">
        <v>12</v>
      </c>
      <c r="C216" s="23">
        <f>$C$19</f>
        <v>1.5</v>
      </c>
      <c r="E216" s="8"/>
      <c r="F216" s="8" t="s">
        <v>3</v>
      </c>
      <c r="G216" s="8">
        <v>119119</v>
      </c>
      <c r="H216" s="5">
        <v>136007</v>
      </c>
      <c r="I216" s="5">
        <v>161248</v>
      </c>
      <c r="J216">
        <v>199481</v>
      </c>
      <c r="K216">
        <v>254598</v>
      </c>
      <c r="L216">
        <v>323692</v>
      </c>
      <c r="M216">
        <v>379844</v>
      </c>
      <c r="N216">
        <v>423547</v>
      </c>
      <c r="O216">
        <v>459314</v>
      </c>
      <c r="P216">
        <v>486654</v>
      </c>
      <c r="Q216">
        <v>479351</v>
      </c>
      <c r="R216">
        <v>438884</v>
      </c>
      <c r="S216">
        <v>412436</v>
      </c>
    </row>
    <row r="217" spans="1:19" x14ac:dyDescent="0.35">
      <c r="B217" t="s">
        <v>16</v>
      </c>
      <c r="C217">
        <f>SQRT(LN(C216^2+1))</f>
        <v>1.085658784490618</v>
      </c>
      <c r="E217" s="29" t="s">
        <v>9</v>
      </c>
      <c r="F217" s="29" t="s">
        <v>0</v>
      </c>
      <c r="G217" s="29">
        <v>0.38</v>
      </c>
      <c r="H217" s="32">
        <v>0.23</v>
      </c>
      <c r="I217" s="32">
        <v>0.21</v>
      </c>
      <c r="J217" s="29">
        <v>7.0000000000000007E-2</v>
      </c>
      <c r="K217" s="29">
        <v>0.08</v>
      </c>
      <c r="L217" s="29">
        <v>0.09</v>
      </c>
      <c r="M217" s="29">
        <v>0.1</v>
      </c>
      <c r="N217" s="29">
        <v>0.12</v>
      </c>
      <c r="O217" s="29">
        <v>0.14000000000000001</v>
      </c>
      <c r="P217" s="29">
        <v>0.15</v>
      </c>
      <c r="Q217" s="29">
        <v>0.22</v>
      </c>
      <c r="R217" s="29">
        <v>0.22</v>
      </c>
      <c r="S217" s="29">
        <v>0.22</v>
      </c>
    </row>
    <row r="218" spans="1:19" x14ac:dyDescent="0.35">
      <c r="A218" s="1"/>
      <c r="B218" t="s">
        <v>17</v>
      </c>
      <c r="C218" s="6">
        <f>IF(C215&gt;=1.5,0.49,IF(C215&lt;0.1,0,IF(C215&lt;1,-0.05+0.5*C215,0.08*(C215)+0.37)))</f>
        <v>0.41480755425479043</v>
      </c>
      <c r="E218" s="8"/>
      <c r="F218" s="8" t="s">
        <v>2</v>
      </c>
      <c r="G218" s="8">
        <v>0.19</v>
      </c>
      <c r="H218" s="5">
        <v>0.11</v>
      </c>
      <c r="I218" s="5">
        <v>0.09</v>
      </c>
      <c r="J218" s="8">
        <v>0.03</v>
      </c>
      <c r="K218" s="8">
        <v>0.03</v>
      </c>
      <c r="L218" s="8">
        <v>0.03</v>
      </c>
      <c r="M218" s="8">
        <v>0.04</v>
      </c>
      <c r="N218" s="8">
        <v>0.04</v>
      </c>
      <c r="O218" s="8">
        <v>0.05</v>
      </c>
      <c r="P218" s="8">
        <v>0.05</v>
      </c>
      <c r="Q218" s="8">
        <v>0.22</v>
      </c>
      <c r="R218" s="8">
        <v>0.22</v>
      </c>
      <c r="S218" s="8">
        <v>0.22</v>
      </c>
    </row>
    <row r="219" spans="1:19" x14ac:dyDescent="0.35">
      <c r="B219" s="1" t="s">
        <v>7</v>
      </c>
      <c r="C219" s="24">
        <f>_xlfn.LOGNORM.INV(C218,LN(C214),C217)</f>
        <v>25981.351286372239</v>
      </c>
      <c r="E219" s="8"/>
      <c r="F219" s="8" t="s">
        <v>27</v>
      </c>
      <c r="G219" s="8">
        <v>0.51</v>
      </c>
      <c r="H219" s="5">
        <v>0.33</v>
      </c>
      <c r="I219" s="5">
        <v>0.28999999999999998</v>
      </c>
      <c r="J219" s="5">
        <v>0.09</v>
      </c>
      <c r="K219" s="8">
        <v>0.1</v>
      </c>
      <c r="L219" s="8">
        <v>0.12</v>
      </c>
      <c r="M219" s="8">
        <v>0.14000000000000001</v>
      </c>
      <c r="N219" s="8">
        <v>0.17</v>
      </c>
      <c r="O219" s="8">
        <v>0.21</v>
      </c>
      <c r="P219" s="8">
        <v>0.24</v>
      </c>
      <c r="Q219" s="8">
        <v>0.22</v>
      </c>
      <c r="R219" s="8">
        <v>0.22</v>
      </c>
      <c r="S219" s="8">
        <v>0.22</v>
      </c>
    </row>
    <row r="220" spans="1:19" x14ac:dyDescent="0.35">
      <c r="B220" s="1" t="s">
        <v>18</v>
      </c>
      <c r="C220">
        <f>C219/C214</f>
        <v>0.79165578739060416</v>
      </c>
      <c r="E220" s="30"/>
      <c r="F220" s="30" t="s">
        <v>3</v>
      </c>
      <c r="G220" s="30">
        <v>0.89</v>
      </c>
      <c r="H220" s="37">
        <v>0.63</v>
      </c>
      <c r="I220" s="37">
        <v>0.54</v>
      </c>
      <c r="J220" s="30">
        <v>0.16</v>
      </c>
      <c r="K220" s="30">
        <v>0.16</v>
      </c>
      <c r="L220" s="30">
        <v>0.18</v>
      </c>
      <c r="M220" s="30">
        <v>0.22</v>
      </c>
      <c r="N220" s="30">
        <v>0.27</v>
      </c>
      <c r="O220" s="30">
        <v>0.35</v>
      </c>
      <c r="P220" s="30">
        <v>0.46</v>
      </c>
      <c r="Q220" s="30">
        <v>0.22</v>
      </c>
      <c r="R220" s="30">
        <v>0.22</v>
      </c>
      <c r="S220" s="30">
        <v>0.22</v>
      </c>
    </row>
    <row r="221" spans="1:19" x14ac:dyDescent="0.35">
      <c r="B221" s="22"/>
      <c r="E221" s="8" t="s">
        <v>6</v>
      </c>
      <c r="F221" s="8" t="s">
        <v>0</v>
      </c>
      <c r="G221" s="8">
        <v>18014</v>
      </c>
      <c r="H221" s="5">
        <v>12220</v>
      </c>
      <c r="I221" s="5">
        <v>12055</v>
      </c>
      <c r="J221">
        <v>4539</v>
      </c>
      <c r="K221">
        <v>6207</v>
      </c>
      <c r="L221" s="22">
        <v>8455</v>
      </c>
      <c r="M221" s="22">
        <v>11245</v>
      </c>
      <c r="N221" s="22">
        <v>14558</v>
      </c>
      <c r="O221" s="22">
        <v>18391</v>
      </c>
      <c r="P221" s="22">
        <v>22337</v>
      </c>
      <c r="Q221" s="9">
        <v>32819</v>
      </c>
      <c r="R221">
        <v>32879</v>
      </c>
      <c r="S221">
        <v>32786</v>
      </c>
    </row>
    <row r="222" spans="1:19" x14ac:dyDescent="0.35">
      <c r="B222" s="39" t="s">
        <v>28</v>
      </c>
      <c r="C222" s="40">
        <f>ROUND(C219,0)</f>
        <v>25981</v>
      </c>
      <c r="E222" s="8"/>
      <c r="F222" s="8" t="s">
        <v>2</v>
      </c>
      <c r="G222" s="8">
        <v>18014</v>
      </c>
      <c r="H222" s="5">
        <v>12220</v>
      </c>
      <c r="I222" s="5">
        <v>12055</v>
      </c>
      <c r="J222">
        <v>4539</v>
      </c>
      <c r="K222">
        <v>6207</v>
      </c>
      <c r="L222">
        <v>8455</v>
      </c>
      <c r="M222">
        <v>11245</v>
      </c>
      <c r="N222">
        <v>14558</v>
      </c>
      <c r="O222">
        <v>18391</v>
      </c>
      <c r="P222">
        <v>22337</v>
      </c>
      <c r="Q222">
        <v>10464</v>
      </c>
      <c r="R222">
        <v>11404</v>
      </c>
      <c r="S222">
        <v>12197</v>
      </c>
    </row>
    <row r="223" spans="1:19" x14ac:dyDescent="0.35">
      <c r="B223" s="5"/>
      <c r="E223" s="8"/>
      <c r="F223" s="8" t="s">
        <v>27</v>
      </c>
      <c r="G223" s="8">
        <v>18014</v>
      </c>
      <c r="H223" s="5">
        <v>12220</v>
      </c>
      <c r="I223" s="5">
        <v>12055</v>
      </c>
      <c r="J223">
        <v>4539</v>
      </c>
      <c r="K223">
        <v>6207</v>
      </c>
      <c r="L223">
        <v>8455</v>
      </c>
      <c r="M223">
        <v>11245</v>
      </c>
      <c r="N223">
        <v>14558</v>
      </c>
      <c r="O223">
        <v>18391</v>
      </c>
      <c r="P223">
        <v>22337</v>
      </c>
      <c r="Q223">
        <v>52592</v>
      </c>
      <c r="R223">
        <v>51010</v>
      </c>
      <c r="S223">
        <v>49196</v>
      </c>
    </row>
    <row r="224" spans="1:19" x14ac:dyDescent="0.35">
      <c r="B224" s="5"/>
      <c r="E224" s="8"/>
      <c r="F224" s="8" t="s">
        <v>3</v>
      </c>
      <c r="G224" s="8">
        <v>18014</v>
      </c>
      <c r="H224" s="8">
        <v>12220</v>
      </c>
      <c r="I224" s="8">
        <v>12055</v>
      </c>
      <c r="J224">
        <v>4539</v>
      </c>
      <c r="K224">
        <v>6207</v>
      </c>
      <c r="L224">
        <v>8455</v>
      </c>
      <c r="M224">
        <v>11245</v>
      </c>
      <c r="N224">
        <v>14558</v>
      </c>
      <c r="O224">
        <v>18391</v>
      </c>
      <c r="P224">
        <v>22337</v>
      </c>
      <c r="Q224">
        <v>91244</v>
      </c>
      <c r="R224">
        <v>83273</v>
      </c>
      <c r="S224">
        <v>77667</v>
      </c>
    </row>
    <row r="225" spans="1:19" x14ac:dyDescent="0.35">
      <c r="B225" s="5"/>
      <c r="E225" s="29" t="s">
        <v>4</v>
      </c>
      <c r="F225" s="29" t="s">
        <v>0</v>
      </c>
      <c r="G225" s="29">
        <v>131006</v>
      </c>
      <c r="H225" s="29">
        <v>131990</v>
      </c>
      <c r="I225" s="29">
        <v>133111</v>
      </c>
      <c r="J225" s="29">
        <v>135448</v>
      </c>
      <c r="K225" s="29">
        <v>139807</v>
      </c>
      <c r="L225" s="29">
        <v>145563</v>
      </c>
      <c r="M225" s="29">
        <v>146515</v>
      </c>
      <c r="N225" s="29">
        <v>147180</v>
      </c>
      <c r="O225" s="29">
        <v>147259</v>
      </c>
      <c r="P225" s="29">
        <v>147668</v>
      </c>
      <c r="Q225" s="29">
        <v>148483</v>
      </c>
      <c r="R225" s="29">
        <v>149573</v>
      </c>
      <c r="S225" s="29">
        <v>151244</v>
      </c>
    </row>
    <row r="226" spans="1:19" x14ac:dyDescent="0.35">
      <c r="B226" s="5"/>
      <c r="E226" s="8"/>
      <c r="F226" s="8" t="s">
        <v>2</v>
      </c>
      <c r="G226" s="8">
        <v>26674</v>
      </c>
      <c r="H226" s="8">
        <v>26748</v>
      </c>
      <c r="I226" s="8">
        <v>26796</v>
      </c>
      <c r="J226" s="8">
        <v>26979</v>
      </c>
      <c r="K226" s="8">
        <v>27290</v>
      </c>
      <c r="L226" s="8">
        <v>28293</v>
      </c>
      <c r="M226" s="8">
        <v>29555</v>
      </c>
      <c r="N226" s="8">
        <v>30289</v>
      </c>
      <c r="O226" s="8">
        <v>30753</v>
      </c>
      <c r="P226" s="8">
        <v>30683</v>
      </c>
      <c r="Q226" s="8">
        <v>30845</v>
      </c>
      <c r="R226" s="8">
        <v>31075</v>
      </c>
      <c r="S226" s="8">
        <v>31555</v>
      </c>
    </row>
    <row r="227" spans="1:19" x14ac:dyDescent="0.35">
      <c r="B227" s="22"/>
      <c r="E227" s="8"/>
      <c r="F227" s="8" t="s">
        <v>27</v>
      </c>
      <c r="G227" s="8">
        <v>151002</v>
      </c>
      <c r="H227" s="8">
        <v>155867</v>
      </c>
      <c r="I227" s="8">
        <v>163702</v>
      </c>
      <c r="J227" s="8">
        <v>173567</v>
      </c>
      <c r="K227" s="8">
        <v>187455</v>
      </c>
      <c r="L227" s="8">
        <v>199515</v>
      </c>
      <c r="M227" s="8">
        <v>205484</v>
      </c>
      <c r="N227" s="8">
        <v>210200</v>
      </c>
      <c r="O227" s="8">
        <v>211381</v>
      </c>
      <c r="P227" s="8">
        <v>213462</v>
      </c>
      <c r="Q227" s="8">
        <v>212781</v>
      </c>
      <c r="R227" s="8">
        <v>215115</v>
      </c>
      <c r="S227" s="8">
        <v>216987</v>
      </c>
    </row>
    <row r="228" spans="1:19" x14ac:dyDescent="0.35">
      <c r="B228" s="22"/>
      <c r="E228" s="30"/>
      <c r="F228" s="30" t="s">
        <v>3</v>
      </c>
      <c r="G228" s="30">
        <v>350002</v>
      </c>
      <c r="H228" s="30">
        <v>367731</v>
      </c>
      <c r="I228" s="30">
        <v>376041</v>
      </c>
      <c r="J228" s="30">
        <v>464582</v>
      </c>
      <c r="K228" s="30">
        <v>534608</v>
      </c>
      <c r="L228" s="30">
        <v>712652</v>
      </c>
      <c r="M228" s="30">
        <v>808458</v>
      </c>
      <c r="N228" s="30">
        <v>883783</v>
      </c>
      <c r="O228" s="30">
        <v>887275</v>
      </c>
      <c r="P228" s="30">
        <v>915972</v>
      </c>
      <c r="Q228" s="30">
        <v>896687</v>
      </c>
      <c r="R228" s="30">
        <v>931117</v>
      </c>
      <c r="S228" s="30">
        <v>941631</v>
      </c>
    </row>
    <row r="229" spans="1:19" x14ac:dyDescent="0.35">
      <c r="B229" s="22"/>
      <c r="E229" s="8" t="s">
        <v>5</v>
      </c>
      <c r="F229" s="8" t="s">
        <v>0</v>
      </c>
      <c r="G229" s="8">
        <v>84112</v>
      </c>
      <c r="H229" s="8">
        <v>86380</v>
      </c>
      <c r="I229" s="8">
        <v>94862</v>
      </c>
      <c r="J229">
        <v>103876</v>
      </c>
      <c r="K229">
        <v>120838</v>
      </c>
      <c r="L229">
        <v>140397</v>
      </c>
      <c r="M229">
        <v>161351</v>
      </c>
      <c r="N229">
        <v>182183</v>
      </c>
      <c r="O229">
        <v>201027</v>
      </c>
      <c r="P229">
        <v>216779</v>
      </c>
      <c r="Q229">
        <v>228846</v>
      </c>
      <c r="R229">
        <v>228493</v>
      </c>
      <c r="S229">
        <v>227855</v>
      </c>
    </row>
    <row r="230" spans="1:19" x14ac:dyDescent="0.35">
      <c r="B230" s="22"/>
      <c r="E230" s="8"/>
      <c r="F230" s="8" t="s">
        <v>2</v>
      </c>
      <c r="G230" s="8">
        <v>44855</v>
      </c>
      <c r="H230" s="8">
        <v>42751</v>
      </c>
      <c r="I230" s="8">
        <v>47284</v>
      </c>
      <c r="J230">
        <v>52079</v>
      </c>
      <c r="K230">
        <v>64646</v>
      </c>
      <c r="L230">
        <v>75245</v>
      </c>
      <c r="M230">
        <v>82787</v>
      </c>
      <c r="N230">
        <v>87221</v>
      </c>
      <c r="O230">
        <v>87732</v>
      </c>
      <c r="P230">
        <v>84742</v>
      </c>
      <c r="Q230">
        <v>78310</v>
      </c>
      <c r="R230">
        <v>84167</v>
      </c>
      <c r="S230">
        <v>88903</v>
      </c>
    </row>
    <row r="231" spans="1:19" x14ac:dyDescent="0.35">
      <c r="B231" s="22"/>
      <c r="E231" s="8"/>
      <c r="F231" s="8" t="s">
        <v>27</v>
      </c>
      <c r="G231" s="8">
        <v>107092</v>
      </c>
      <c r="H231" s="8">
        <v>112274</v>
      </c>
      <c r="I231" s="8">
        <v>124403</v>
      </c>
      <c r="J231">
        <v>139888</v>
      </c>
      <c r="K231">
        <v>168099</v>
      </c>
      <c r="L231">
        <v>201280</v>
      </c>
      <c r="M231">
        <v>236469</v>
      </c>
      <c r="N231">
        <v>271797</v>
      </c>
      <c r="O231">
        <v>306598</v>
      </c>
      <c r="P231">
        <v>335773</v>
      </c>
      <c r="Q231">
        <v>358438</v>
      </c>
      <c r="R231">
        <v>346858</v>
      </c>
      <c r="S231">
        <v>334923</v>
      </c>
    </row>
    <row r="232" spans="1:19" x14ac:dyDescent="0.35">
      <c r="B232" s="22"/>
      <c r="E232" s="30"/>
      <c r="F232" s="30" t="s">
        <v>3</v>
      </c>
      <c r="G232" s="30">
        <v>151237</v>
      </c>
      <c r="H232" s="30">
        <v>174970</v>
      </c>
      <c r="I232" s="30">
        <v>211649</v>
      </c>
      <c r="J232" s="30">
        <v>262223</v>
      </c>
      <c r="K232" s="30">
        <v>327457</v>
      </c>
      <c r="L232" s="30">
        <v>390780</v>
      </c>
      <c r="M232" s="30">
        <v>445732</v>
      </c>
      <c r="N232" s="30">
        <v>493040</v>
      </c>
      <c r="O232" s="30">
        <v>534944</v>
      </c>
      <c r="P232" s="30">
        <v>565874</v>
      </c>
      <c r="Q232" s="30">
        <v>588691</v>
      </c>
      <c r="R232" s="30">
        <v>545519</v>
      </c>
      <c r="S232" s="30">
        <v>515577</v>
      </c>
    </row>
    <row r="235" spans="1:19" x14ac:dyDescent="0.35">
      <c r="A235" s="1">
        <f>A211+1</f>
        <v>2031</v>
      </c>
      <c r="B235" t="str">
        <f>CONCATENATE("(F = ",$B$5," in ",A235," onward)")</f>
        <v>(F = Fmsy proxy in 2031 onward)</v>
      </c>
      <c r="F235" s="31"/>
      <c r="G235" s="27"/>
      <c r="H235" s="27"/>
    </row>
    <row r="236" spans="1:19" x14ac:dyDescent="0.35">
      <c r="B236" s="22"/>
      <c r="E236" s="30"/>
      <c r="F236" s="30"/>
      <c r="G236" s="30">
        <v>2020</v>
      </c>
      <c r="H236" s="30">
        <v>2021</v>
      </c>
      <c r="I236" s="30">
        <v>2022</v>
      </c>
      <c r="J236" s="30">
        <v>2023</v>
      </c>
      <c r="K236" s="30">
        <v>2024</v>
      </c>
      <c r="L236" s="30">
        <v>2025</v>
      </c>
      <c r="M236" s="30">
        <v>2026</v>
      </c>
      <c r="N236" s="30">
        <v>2027</v>
      </c>
      <c r="O236" s="30">
        <v>2028</v>
      </c>
      <c r="P236" s="30">
        <v>2029</v>
      </c>
      <c r="Q236" s="30">
        <v>2030</v>
      </c>
      <c r="R236" s="30">
        <v>2031</v>
      </c>
      <c r="S236" s="30">
        <v>2032</v>
      </c>
    </row>
    <row r="237" spans="1:19" x14ac:dyDescent="0.35">
      <c r="B237" t="s">
        <v>10</v>
      </c>
      <c r="C237" s="3">
        <f>HLOOKUP(($A235-1),G236:S237,2,FALSE)</f>
        <v>177517</v>
      </c>
      <c r="E237" s="8" t="s">
        <v>1</v>
      </c>
      <c r="F237" s="8" t="s">
        <v>0</v>
      </c>
      <c r="G237" s="8">
        <v>60294</v>
      </c>
      <c r="H237" s="5">
        <v>63619</v>
      </c>
      <c r="I237" s="5">
        <v>70768</v>
      </c>
      <c r="J237">
        <v>82205</v>
      </c>
      <c r="K237" s="22">
        <v>96378</v>
      </c>
      <c r="L237" s="22">
        <v>111512</v>
      </c>
      <c r="M237" s="22">
        <v>126811</v>
      </c>
      <c r="N237" s="22">
        <v>142214</v>
      </c>
      <c r="O237" s="22">
        <v>156433</v>
      </c>
      <c r="P237" s="22">
        <v>168344</v>
      </c>
      <c r="Q237" s="9">
        <v>177517</v>
      </c>
      <c r="R237">
        <v>181229</v>
      </c>
      <c r="S237">
        <v>179690</v>
      </c>
    </row>
    <row r="238" spans="1:19" x14ac:dyDescent="0.35">
      <c r="B238" t="s">
        <v>14</v>
      </c>
      <c r="C238" s="3">
        <f>HLOOKUP($A235,G236:S245,10,FALSE)</f>
        <v>34169</v>
      </c>
      <c r="E238" s="8"/>
      <c r="F238" s="8" t="s">
        <v>2</v>
      </c>
      <c r="G238" s="8">
        <v>25841</v>
      </c>
      <c r="H238" s="5">
        <v>24764</v>
      </c>
      <c r="I238" s="5">
        <v>29101</v>
      </c>
      <c r="J238">
        <v>36694</v>
      </c>
      <c r="K238">
        <v>47534</v>
      </c>
      <c r="L238">
        <v>56441</v>
      </c>
      <c r="M238">
        <v>62149</v>
      </c>
      <c r="N238">
        <v>64428</v>
      </c>
      <c r="O238">
        <v>63133</v>
      </c>
      <c r="P238">
        <v>58156</v>
      </c>
      <c r="Q238">
        <v>50023</v>
      </c>
      <c r="R238">
        <v>48834</v>
      </c>
      <c r="S238">
        <v>56053</v>
      </c>
    </row>
    <row r="239" spans="1:19" x14ac:dyDescent="0.35">
      <c r="B239" t="s">
        <v>15</v>
      </c>
      <c r="C239" s="22">
        <f>C237/$C$6</f>
        <v>0.98026947926445418</v>
      </c>
      <c r="E239" s="8"/>
      <c r="F239" s="8" t="s">
        <v>27</v>
      </c>
      <c r="G239" s="8">
        <v>80434</v>
      </c>
      <c r="H239" s="5">
        <v>86837</v>
      </c>
      <c r="I239" s="5">
        <v>95989</v>
      </c>
      <c r="J239">
        <v>112134</v>
      </c>
      <c r="K239">
        <v>133901</v>
      </c>
      <c r="L239">
        <v>158744</v>
      </c>
      <c r="M239">
        <v>185028</v>
      </c>
      <c r="N239">
        <v>213972</v>
      </c>
      <c r="O239">
        <v>242790</v>
      </c>
      <c r="P239">
        <v>269905</v>
      </c>
      <c r="Q239">
        <v>291348</v>
      </c>
      <c r="R239">
        <v>293928</v>
      </c>
      <c r="S239">
        <v>278270</v>
      </c>
    </row>
    <row r="240" spans="1:19" x14ac:dyDescent="0.35">
      <c r="B240" s="22" t="s">
        <v>12</v>
      </c>
      <c r="C240" s="23">
        <f>$C$19</f>
        <v>1.5</v>
      </c>
      <c r="E240" s="8"/>
      <c r="F240" s="8" t="s">
        <v>3</v>
      </c>
      <c r="G240" s="8">
        <v>119119</v>
      </c>
      <c r="H240" s="5">
        <v>136007</v>
      </c>
      <c r="I240" s="5">
        <v>161248</v>
      </c>
      <c r="J240">
        <v>199481</v>
      </c>
      <c r="K240">
        <v>254598</v>
      </c>
      <c r="L240">
        <v>323692</v>
      </c>
      <c r="M240">
        <v>379844</v>
      </c>
      <c r="N240">
        <v>423547</v>
      </c>
      <c r="O240">
        <v>459314</v>
      </c>
      <c r="P240">
        <v>486654</v>
      </c>
      <c r="Q240">
        <v>507277</v>
      </c>
      <c r="R240">
        <v>491585</v>
      </c>
      <c r="S240">
        <v>447947</v>
      </c>
    </row>
    <row r="241" spans="1:19" x14ac:dyDescent="0.35">
      <c r="B241" t="s">
        <v>16</v>
      </c>
      <c r="C241">
        <f>SQRT(LN(C240^2+1))</f>
        <v>1.085658784490618</v>
      </c>
      <c r="E241" s="29" t="s">
        <v>9</v>
      </c>
      <c r="F241" s="29" t="s">
        <v>0</v>
      </c>
      <c r="G241" s="29">
        <v>0.38</v>
      </c>
      <c r="H241" s="32">
        <v>0.23</v>
      </c>
      <c r="I241" s="32">
        <v>0.21</v>
      </c>
      <c r="J241" s="29">
        <v>7.0000000000000007E-2</v>
      </c>
      <c r="K241" s="29">
        <v>0.08</v>
      </c>
      <c r="L241" s="29">
        <v>0.09</v>
      </c>
      <c r="M241" s="29">
        <v>0.1</v>
      </c>
      <c r="N241" s="29">
        <v>0.12</v>
      </c>
      <c r="O241" s="29">
        <v>0.14000000000000001</v>
      </c>
      <c r="P241" s="29">
        <v>0.15</v>
      </c>
      <c r="Q241" s="29">
        <v>0.17</v>
      </c>
      <c r="R241" s="29">
        <v>0.22</v>
      </c>
      <c r="S241" s="29">
        <v>0.22</v>
      </c>
    </row>
    <row r="242" spans="1:19" x14ac:dyDescent="0.35">
      <c r="A242" s="1"/>
      <c r="B242" t="s">
        <v>17</v>
      </c>
      <c r="C242" s="6">
        <f>IF(C239&gt;=1.5,0.49,IF(C239&lt;0.1,0,IF(C239&lt;1,-0.05+0.5*C239,0.08*(C239)+0.37)))</f>
        <v>0.4401347396322271</v>
      </c>
      <c r="E242" s="8"/>
      <c r="F242" s="8" t="s">
        <v>2</v>
      </c>
      <c r="G242" s="8">
        <v>0.19</v>
      </c>
      <c r="H242" s="5">
        <v>0.11</v>
      </c>
      <c r="I242" s="5">
        <v>0.09</v>
      </c>
      <c r="J242" s="8">
        <v>0.03</v>
      </c>
      <c r="K242" s="8">
        <v>0.03</v>
      </c>
      <c r="L242" s="8">
        <v>0.03</v>
      </c>
      <c r="M242" s="8">
        <v>0.04</v>
      </c>
      <c r="N242" s="8">
        <v>0.04</v>
      </c>
      <c r="O242" s="8">
        <v>0.05</v>
      </c>
      <c r="P242" s="8">
        <v>0.05</v>
      </c>
      <c r="Q242" s="8">
        <v>0.06</v>
      </c>
      <c r="R242" s="8">
        <v>0.22</v>
      </c>
      <c r="S242" s="8">
        <v>0.22</v>
      </c>
    </row>
    <row r="243" spans="1:19" x14ac:dyDescent="0.35">
      <c r="B243" s="1" t="s">
        <v>7</v>
      </c>
      <c r="C243" s="24">
        <f>_xlfn.LOGNORM.INV(C242,LN(C238),C241)</f>
        <v>29014.294168661858</v>
      </c>
      <c r="E243" s="8"/>
      <c r="F243" s="8" t="s">
        <v>27</v>
      </c>
      <c r="G243" s="8">
        <v>0.51</v>
      </c>
      <c r="H243" s="5">
        <v>0.33</v>
      </c>
      <c r="I243" s="5">
        <v>0.28999999999999998</v>
      </c>
      <c r="J243" s="5">
        <v>0.09</v>
      </c>
      <c r="K243" s="8">
        <v>0.1</v>
      </c>
      <c r="L243" s="8">
        <v>0.12</v>
      </c>
      <c r="M243" s="8">
        <v>0.14000000000000001</v>
      </c>
      <c r="N243" s="8">
        <v>0.17</v>
      </c>
      <c r="O243" s="8">
        <v>0.21</v>
      </c>
      <c r="P243" s="8">
        <v>0.24</v>
      </c>
      <c r="Q243" s="8">
        <v>0.28000000000000003</v>
      </c>
      <c r="R243" s="8">
        <v>0.22</v>
      </c>
      <c r="S243" s="8">
        <v>0.22</v>
      </c>
    </row>
    <row r="244" spans="1:19" x14ac:dyDescent="0.35">
      <c r="B244" s="1" t="s">
        <v>18</v>
      </c>
      <c r="C244">
        <f>C243/C238</f>
        <v>0.84914086360917373</v>
      </c>
      <c r="E244" s="30"/>
      <c r="F244" s="30" t="s">
        <v>3</v>
      </c>
      <c r="G244" s="30">
        <v>0.89</v>
      </c>
      <c r="H244" s="37">
        <v>0.63</v>
      </c>
      <c r="I244" s="37">
        <v>0.54</v>
      </c>
      <c r="J244" s="30">
        <v>0.16</v>
      </c>
      <c r="K244" s="30">
        <v>0.16</v>
      </c>
      <c r="L244" s="30">
        <v>0.18</v>
      </c>
      <c r="M244" s="30">
        <v>0.22</v>
      </c>
      <c r="N244" s="30">
        <v>0.27</v>
      </c>
      <c r="O244" s="30">
        <v>0.35</v>
      </c>
      <c r="P244" s="30">
        <v>0.46</v>
      </c>
      <c r="Q244" s="30">
        <v>0.63</v>
      </c>
      <c r="R244" s="30">
        <v>0.22</v>
      </c>
      <c r="S244" s="30">
        <v>0.22</v>
      </c>
    </row>
    <row r="245" spans="1:19" x14ac:dyDescent="0.35">
      <c r="B245" s="22"/>
      <c r="E245" s="8" t="s">
        <v>6</v>
      </c>
      <c r="F245" s="8" t="s">
        <v>0</v>
      </c>
      <c r="G245" s="8">
        <v>18014</v>
      </c>
      <c r="H245" s="5">
        <v>12220</v>
      </c>
      <c r="I245" s="5">
        <v>12055</v>
      </c>
      <c r="J245">
        <v>4539</v>
      </c>
      <c r="K245">
        <v>6207</v>
      </c>
      <c r="L245" s="22">
        <v>8455</v>
      </c>
      <c r="M245" s="22">
        <v>11245</v>
      </c>
      <c r="N245" s="22">
        <v>14558</v>
      </c>
      <c r="O245" s="22">
        <v>18391</v>
      </c>
      <c r="P245" s="22">
        <v>22337</v>
      </c>
      <c r="Q245" s="22">
        <v>25981</v>
      </c>
      <c r="R245" s="9">
        <v>34169</v>
      </c>
      <c r="S245">
        <v>33931</v>
      </c>
    </row>
    <row r="246" spans="1:19" x14ac:dyDescent="0.35">
      <c r="B246" s="39" t="s">
        <v>28</v>
      </c>
      <c r="C246" s="40">
        <f>ROUND(C243,0)</f>
        <v>29014</v>
      </c>
      <c r="E246" s="8"/>
      <c r="F246" s="8" t="s">
        <v>2</v>
      </c>
      <c r="G246" s="8">
        <v>18014</v>
      </c>
      <c r="H246" s="5">
        <v>12220</v>
      </c>
      <c r="I246" s="5">
        <v>12055</v>
      </c>
      <c r="J246">
        <v>4539</v>
      </c>
      <c r="K246">
        <v>6207</v>
      </c>
      <c r="L246">
        <v>8455</v>
      </c>
      <c r="M246">
        <v>11245</v>
      </c>
      <c r="N246">
        <v>14558</v>
      </c>
      <c r="O246">
        <v>18391</v>
      </c>
      <c r="P246">
        <v>22337</v>
      </c>
      <c r="Q246">
        <v>25981</v>
      </c>
      <c r="R246">
        <v>8819</v>
      </c>
      <c r="S246">
        <v>10127</v>
      </c>
    </row>
    <row r="247" spans="1:19" x14ac:dyDescent="0.35">
      <c r="B247" s="5"/>
      <c r="E247" s="8"/>
      <c r="F247" s="8" t="s">
        <v>27</v>
      </c>
      <c r="G247" s="8">
        <v>18014</v>
      </c>
      <c r="H247" s="5">
        <v>12220</v>
      </c>
      <c r="I247" s="5">
        <v>12055</v>
      </c>
      <c r="J247">
        <v>4539</v>
      </c>
      <c r="K247">
        <v>6207</v>
      </c>
      <c r="L247">
        <v>8455</v>
      </c>
      <c r="M247">
        <v>11245</v>
      </c>
      <c r="N247">
        <v>14558</v>
      </c>
      <c r="O247">
        <v>18391</v>
      </c>
      <c r="P247">
        <v>22337</v>
      </c>
      <c r="Q247">
        <v>25981</v>
      </c>
      <c r="R247">
        <v>55589</v>
      </c>
      <c r="S247">
        <v>52808</v>
      </c>
    </row>
    <row r="248" spans="1:19" x14ac:dyDescent="0.35">
      <c r="B248" s="5"/>
      <c r="E248" s="8"/>
      <c r="F248" s="8" t="s">
        <v>3</v>
      </c>
      <c r="G248" s="8">
        <v>18014</v>
      </c>
      <c r="H248" s="8">
        <v>12220</v>
      </c>
      <c r="I248" s="8">
        <v>12055</v>
      </c>
      <c r="J248">
        <v>4539</v>
      </c>
      <c r="K248">
        <v>6207</v>
      </c>
      <c r="L248">
        <v>8455</v>
      </c>
      <c r="M248">
        <v>11245</v>
      </c>
      <c r="N248">
        <v>14558</v>
      </c>
      <c r="O248">
        <v>18391</v>
      </c>
      <c r="P248">
        <v>22337</v>
      </c>
      <c r="Q248">
        <v>25981</v>
      </c>
      <c r="R248">
        <v>94186</v>
      </c>
      <c r="S248">
        <v>85357</v>
      </c>
    </row>
    <row r="249" spans="1:19" x14ac:dyDescent="0.35">
      <c r="B249" s="5"/>
      <c r="E249" s="29" t="s">
        <v>4</v>
      </c>
      <c r="F249" s="29" t="s">
        <v>0</v>
      </c>
      <c r="G249" s="29">
        <v>131006</v>
      </c>
      <c r="H249" s="29">
        <v>131990</v>
      </c>
      <c r="I249" s="29">
        <v>133111</v>
      </c>
      <c r="J249" s="29">
        <v>135448</v>
      </c>
      <c r="K249" s="29">
        <v>139807</v>
      </c>
      <c r="L249" s="29">
        <v>145563</v>
      </c>
      <c r="M249" s="29">
        <v>146515</v>
      </c>
      <c r="N249" s="29">
        <v>147180</v>
      </c>
      <c r="O249" s="29">
        <v>147259</v>
      </c>
      <c r="P249" s="29">
        <v>147668</v>
      </c>
      <c r="Q249" s="29">
        <v>147257</v>
      </c>
      <c r="R249" s="29">
        <v>147194</v>
      </c>
      <c r="S249" s="29">
        <v>147883</v>
      </c>
    </row>
    <row r="250" spans="1:19" x14ac:dyDescent="0.35">
      <c r="B250" s="5"/>
      <c r="E250" s="8"/>
      <c r="F250" s="8" t="s">
        <v>2</v>
      </c>
      <c r="G250" s="8">
        <v>26674</v>
      </c>
      <c r="H250" s="8">
        <v>26748</v>
      </c>
      <c r="I250" s="8">
        <v>26796</v>
      </c>
      <c r="J250" s="8">
        <v>26979</v>
      </c>
      <c r="K250" s="8">
        <v>27290</v>
      </c>
      <c r="L250" s="8">
        <v>28293</v>
      </c>
      <c r="M250" s="8">
        <v>29555</v>
      </c>
      <c r="N250" s="8">
        <v>30289</v>
      </c>
      <c r="O250" s="8">
        <v>30753</v>
      </c>
      <c r="P250" s="8">
        <v>30683</v>
      </c>
      <c r="Q250" s="8">
        <v>30550</v>
      </c>
      <c r="R250" s="8">
        <v>30429</v>
      </c>
      <c r="S250" s="8">
        <v>30920</v>
      </c>
    </row>
    <row r="251" spans="1:19" x14ac:dyDescent="0.35">
      <c r="B251" s="22"/>
      <c r="E251" s="8"/>
      <c r="F251" s="8" t="s">
        <v>27</v>
      </c>
      <c r="G251" s="8">
        <v>151002</v>
      </c>
      <c r="H251" s="8">
        <v>155867</v>
      </c>
      <c r="I251" s="8">
        <v>163702</v>
      </c>
      <c r="J251" s="8">
        <v>173567</v>
      </c>
      <c r="K251" s="8">
        <v>187455</v>
      </c>
      <c r="L251" s="8">
        <v>199515</v>
      </c>
      <c r="M251" s="8">
        <v>205484</v>
      </c>
      <c r="N251" s="8">
        <v>210200</v>
      </c>
      <c r="O251" s="8">
        <v>211381</v>
      </c>
      <c r="P251" s="8">
        <v>213462</v>
      </c>
      <c r="Q251" s="8">
        <v>210874</v>
      </c>
      <c r="R251" s="8">
        <v>211247</v>
      </c>
      <c r="S251" s="8">
        <v>212728</v>
      </c>
    </row>
    <row r="252" spans="1:19" x14ac:dyDescent="0.35">
      <c r="B252" s="22"/>
      <c r="E252" s="30"/>
      <c r="F252" s="30" t="s">
        <v>3</v>
      </c>
      <c r="G252" s="30">
        <v>350002</v>
      </c>
      <c r="H252" s="30">
        <v>367731</v>
      </c>
      <c r="I252" s="30">
        <v>376041</v>
      </c>
      <c r="J252" s="30">
        <v>464582</v>
      </c>
      <c r="K252" s="30">
        <v>534608</v>
      </c>
      <c r="L252" s="30">
        <v>712652</v>
      </c>
      <c r="M252" s="30">
        <v>808458</v>
      </c>
      <c r="N252" s="30">
        <v>883783</v>
      </c>
      <c r="O252" s="30">
        <v>887275</v>
      </c>
      <c r="P252" s="30">
        <v>915972</v>
      </c>
      <c r="Q252" s="30">
        <v>875786</v>
      </c>
      <c r="R252" s="30">
        <v>892056</v>
      </c>
      <c r="S252" s="30">
        <v>901912</v>
      </c>
    </row>
    <row r="253" spans="1:19" x14ac:dyDescent="0.35">
      <c r="B253" s="22"/>
      <c r="E253" s="8" t="s">
        <v>5</v>
      </c>
      <c r="F253" s="8" t="s">
        <v>0</v>
      </c>
      <c r="G253" s="8">
        <v>84112</v>
      </c>
      <c r="H253" s="8">
        <v>86380</v>
      </c>
      <c r="I253" s="8">
        <v>94862</v>
      </c>
      <c r="J253">
        <v>103876</v>
      </c>
      <c r="K253">
        <v>120838</v>
      </c>
      <c r="L253">
        <v>140397</v>
      </c>
      <c r="M253">
        <v>161351</v>
      </c>
      <c r="N253">
        <v>182183</v>
      </c>
      <c r="O253">
        <v>201027</v>
      </c>
      <c r="P253">
        <v>216779</v>
      </c>
      <c r="Q253">
        <v>228846</v>
      </c>
      <c r="R253">
        <v>236929</v>
      </c>
      <c r="S253">
        <v>234808</v>
      </c>
    </row>
    <row r="254" spans="1:19" x14ac:dyDescent="0.35">
      <c r="B254" s="22"/>
      <c r="E254" s="8"/>
      <c r="F254" s="8" t="s">
        <v>2</v>
      </c>
      <c r="G254" s="8">
        <v>44855</v>
      </c>
      <c r="H254" s="8">
        <v>42751</v>
      </c>
      <c r="I254" s="8">
        <v>47284</v>
      </c>
      <c r="J254">
        <v>52079</v>
      </c>
      <c r="K254">
        <v>64646</v>
      </c>
      <c r="L254">
        <v>75245</v>
      </c>
      <c r="M254">
        <v>82787</v>
      </c>
      <c r="N254">
        <v>87221</v>
      </c>
      <c r="O254">
        <v>87732</v>
      </c>
      <c r="P254">
        <v>84742</v>
      </c>
      <c r="Q254">
        <v>78310</v>
      </c>
      <c r="R254">
        <v>68669</v>
      </c>
      <c r="S254">
        <v>77029</v>
      </c>
    </row>
    <row r="255" spans="1:19" x14ac:dyDescent="0.35">
      <c r="B255" s="22"/>
      <c r="E255" s="8"/>
      <c r="F255" s="8" t="s">
        <v>27</v>
      </c>
      <c r="G255" s="8">
        <v>107092</v>
      </c>
      <c r="H255" s="8">
        <v>112274</v>
      </c>
      <c r="I255" s="8">
        <v>124403</v>
      </c>
      <c r="J255">
        <v>139888</v>
      </c>
      <c r="K255">
        <v>168099</v>
      </c>
      <c r="L255">
        <v>201280</v>
      </c>
      <c r="M255">
        <v>236469</v>
      </c>
      <c r="N255">
        <v>271797</v>
      </c>
      <c r="O255">
        <v>306598</v>
      </c>
      <c r="P255">
        <v>335773</v>
      </c>
      <c r="Q255">
        <v>358438</v>
      </c>
      <c r="R255">
        <v>373523</v>
      </c>
      <c r="S255">
        <v>355563</v>
      </c>
    </row>
    <row r="256" spans="1:19" x14ac:dyDescent="0.35">
      <c r="B256" s="22"/>
      <c r="E256" s="30"/>
      <c r="F256" s="30" t="s">
        <v>3</v>
      </c>
      <c r="G256" s="30">
        <v>151237</v>
      </c>
      <c r="H256" s="30">
        <v>174970</v>
      </c>
      <c r="I256" s="30">
        <v>211649</v>
      </c>
      <c r="J256" s="30">
        <v>262223</v>
      </c>
      <c r="K256" s="30">
        <v>327457</v>
      </c>
      <c r="L256" s="30">
        <v>390780</v>
      </c>
      <c r="M256" s="30">
        <v>445732</v>
      </c>
      <c r="N256" s="30">
        <v>493040</v>
      </c>
      <c r="O256" s="30">
        <v>534944</v>
      </c>
      <c r="P256" s="30">
        <v>565874</v>
      </c>
      <c r="Q256" s="30">
        <v>588691</v>
      </c>
      <c r="R256" s="30">
        <v>605502</v>
      </c>
      <c r="S256" s="30">
        <v>556215</v>
      </c>
    </row>
    <row r="259" spans="1:19" x14ac:dyDescent="0.35">
      <c r="A259" s="1">
        <f>A235+1</f>
        <v>2032</v>
      </c>
      <c r="B259" t="str">
        <f>CONCATENATE("(F = ",$B$5," in ",A259," onward)")</f>
        <v>(F = Fmsy proxy in 2032 onward)</v>
      </c>
      <c r="F259" s="31"/>
      <c r="G259" s="27"/>
      <c r="H259" s="27"/>
    </row>
    <row r="260" spans="1:19" x14ac:dyDescent="0.35">
      <c r="B260" s="22"/>
      <c r="E260" s="30"/>
      <c r="F260" s="30"/>
      <c r="G260" s="30">
        <v>2020</v>
      </c>
      <c r="H260" s="30">
        <v>2021</v>
      </c>
      <c r="I260" s="30">
        <v>2022</v>
      </c>
      <c r="J260" s="30">
        <v>2023</v>
      </c>
      <c r="K260" s="30">
        <v>2024</v>
      </c>
      <c r="L260" s="30">
        <v>2025</v>
      </c>
      <c r="M260" s="30">
        <v>2026</v>
      </c>
      <c r="N260" s="30">
        <v>2027</v>
      </c>
      <c r="O260" s="30">
        <v>2028</v>
      </c>
      <c r="P260" s="30">
        <v>2029</v>
      </c>
      <c r="Q260" s="30">
        <v>2030</v>
      </c>
      <c r="R260" s="30">
        <v>2031</v>
      </c>
      <c r="S260" s="30">
        <v>2032</v>
      </c>
    </row>
    <row r="261" spans="1:19" x14ac:dyDescent="0.35">
      <c r="B261" t="s">
        <v>10</v>
      </c>
      <c r="C261" s="3">
        <f>HLOOKUP(($A259-1),G260:S261,2,FALSE)</f>
        <v>183446</v>
      </c>
      <c r="E261" s="8" t="s">
        <v>1</v>
      </c>
      <c r="F261" s="8" t="s">
        <v>0</v>
      </c>
      <c r="G261" s="8">
        <v>60294</v>
      </c>
      <c r="H261" s="5">
        <v>63619</v>
      </c>
      <c r="I261" s="5">
        <v>70768</v>
      </c>
      <c r="J261">
        <v>82205</v>
      </c>
      <c r="K261" s="22">
        <v>96378</v>
      </c>
      <c r="L261" s="22">
        <v>111512</v>
      </c>
      <c r="M261" s="22">
        <v>126811</v>
      </c>
      <c r="N261" s="22">
        <v>142214</v>
      </c>
      <c r="O261" s="22">
        <v>156433</v>
      </c>
      <c r="P261" s="22">
        <v>168344</v>
      </c>
      <c r="Q261" s="22">
        <v>177517</v>
      </c>
      <c r="R261" s="9">
        <v>183446</v>
      </c>
      <c r="S261">
        <v>184985</v>
      </c>
    </row>
    <row r="262" spans="1:19" x14ac:dyDescent="0.35">
      <c r="B262" t="s">
        <v>14</v>
      </c>
      <c r="C262" s="3">
        <f>HLOOKUP($A259,G260:S269,10,FALSE)</f>
        <v>34932</v>
      </c>
      <c r="E262" s="8"/>
      <c r="F262" s="8" t="s">
        <v>2</v>
      </c>
      <c r="G262" s="8">
        <v>25841</v>
      </c>
      <c r="H262" s="5">
        <v>24764</v>
      </c>
      <c r="I262" s="5">
        <v>29101</v>
      </c>
      <c r="J262">
        <v>36694</v>
      </c>
      <c r="K262">
        <v>47534</v>
      </c>
      <c r="L262">
        <v>56441</v>
      </c>
      <c r="M262">
        <v>62149</v>
      </c>
      <c r="N262">
        <v>64428</v>
      </c>
      <c r="O262">
        <v>63133</v>
      </c>
      <c r="P262">
        <v>58156</v>
      </c>
      <c r="Q262">
        <v>50023</v>
      </c>
      <c r="R262">
        <v>39275</v>
      </c>
      <c r="S262">
        <v>38631</v>
      </c>
    </row>
    <row r="263" spans="1:19" x14ac:dyDescent="0.35">
      <c r="B263" t="s">
        <v>15</v>
      </c>
      <c r="C263" s="22">
        <f>C261/$C$6</f>
        <v>1.013010105472417</v>
      </c>
      <c r="E263" s="8"/>
      <c r="F263" s="8" t="s">
        <v>27</v>
      </c>
      <c r="G263" s="8">
        <v>80434</v>
      </c>
      <c r="H263" s="5">
        <v>86837</v>
      </c>
      <c r="I263" s="5">
        <v>95989</v>
      </c>
      <c r="J263">
        <v>112134</v>
      </c>
      <c r="K263">
        <v>133901</v>
      </c>
      <c r="L263">
        <v>158744</v>
      </c>
      <c r="M263">
        <v>185028</v>
      </c>
      <c r="N263">
        <v>213972</v>
      </c>
      <c r="O263">
        <v>242790</v>
      </c>
      <c r="P263">
        <v>269905</v>
      </c>
      <c r="Q263">
        <v>291348</v>
      </c>
      <c r="R263">
        <v>305622</v>
      </c>
      <c r="S263">
        <v>301204</v>
      </c>
    </row>
    <row r="264" spans="1:19" x14ac:dyDescent="0.35">
      <c r="B264" s="22" t="s">
        <v>12</v>
      </c>
      <c r="C264" s="23">
        <f>$C$19</f>
        <v>1.5</v>
      </c>
      <c r="E264" s="8"/>
      <c r="F264" s="8" t="s">
        <v>3</v>
      </c>
      <c r="G264" s="8">
        <v>119119</v>
      </c>
      <c r="H264" s="5">
        <v>136007</v>
      </c>
      <c r="I264" s="5">
        <v>161248</v>
      </c>
      <c r="J264">
        <v>199481</v>
      </c>
      <c r="K264">
        <v>254598</v>
      </c>
      <c r="L264">
        <v>323692</v>
      </c>
      <c r="M264">
        <v>379844</v>
      </c>
      <c r="N264">
        <v>423547</v>
      </c>
      <c r="O264">
        <v>459314</v>
      </c>
      <c r="P264">
        <v>486654</v>
      </c>
      <c r="Q264">
        <v>507277</v>
      </c>
      <c r="R264">
        <v>519688</v>
      </c>
      <c r="S264">
        <v>500744</v>
      </c>
    </row>
    <row r="265" spans="1:19" x14ac:dyDescent="0.35">
      <c r="B265" t="s">
        <v>16</v>
      </c>
      <c r="C265">
        <f>SQRT(LN(C264^2+1))</f>
        <v>1.085658784490618</v>
      </c>
      <c r="E265" s="29" t="s">
        <v>9</v>
      </c>
      <c r="F265" s="29" t="s">
        <v>0</v>
      </c>
      <c r="G265" s="29">
        <v>0.38</v>
      </c>
      <c r="H265" s="32">
        <v>0.23</v>
      </c>
      <c r="I265" s="32">
        <v>0.21</v>
      </c>
      <c r="J265" s="29">
        <v>7.0000000000000007E-2</v>
      </c>
      <c r="K265" s="29">
        <v>0.08</v>
      </c>
      <c r="L265" s="29">
        <v>0.09</v>
      </c>
      <c r="M265" s="29">
        <v>0.1</v>
      </c>
      <c r="N265" s="29">
        <v>0.12</v>
      </c>
      <c r="O265" s="29">
        <v>0.14000000000000001</v>
      </c>
      <c r="P265" s="29">
        <v>0.15</v>
      </c>
      <c r="Q265" s="29">
        <v>0.17</v>
      </c>
      <c r="R265" s="29">
        <v>0.18</v>
      </c>
      <c r="S265" s="29">
        <v>0.22</v>
      </c>
    </row>
    <row r="266" spans="1:19" x14ac:dyDescent="0.35">
      <c r="A266" s="1"/>
      <c r="B266" t="s">
        <v>17</v>
      </c>
      <c r="C266" s="6">
        <f>IF(C263&gt;=1.5,0.49,IF(C263&lt;0.1,0,IF(C263&lt;1,-0.05+0.5*C263,0.08*(C263)+0.37)))</f>
        <v>0.45104080843779337</v>
      </c>
      <c r="E266" s="8"/>
      <c r="F266" s="8" t="s">
        <v>2</v>
      </c>
      <c r="G266" s="8">
        <v>0.19</v>
      </c>
      <c r="H266" s="5">
        <v>0.11</v>
      </c>
      <c r="I266" s="5">
        <v>0.09</v>
      </c>
      <c r="J266" s="8">
        <v>0.03</v>
      </c>
      <c r="K266" s="8">
        <v>0.03</v>
      </c>
      <c r="L266" s="8">
        <v>0.03</v>
      </c>
      <c r="M266" s="8">
        <v>0.04</v>
      </c>
      <c r="N266" s="8">
        <v>0.04</v>
      </c>
      <c r="O266" s="8">
        <v>0.05</v>
      </c>
      <c r="P266" s="8">
        <v>0.05</v>
      </c>
      <c r="Q266" s="8">
        <v>0.06</v>
      </c>
      <c r="R266" s="8">
        <v>0.06</v>
      </c>
      <c r="S266" s="8">
        <v>0.22</v>
      </c>
    </row>
    <row r="267" spans="1:19" x14ac:dyDescent="0.35">
      <c r="B267" s="1" t="s">
        <v>7</v>
      </c>
      <c r="C267" s="24">
        <f>_xlfn.LOGNORM.INV(C266,LN(C262),C265)</f>
        <v>30564.290467677878</v>
      </c>
      <c r="E267" s="8"/>
      <c r="F267" s="8" t="s">
        <v>27</v>
      </c>
      <c r="G267" s="8">
        <v>0.51</v>
      </c>
      <c r="H267" s="5">
        <v>0.33</v>
      </c>
      <c r="I267" s="5">
        <v>0.28999999999999998</v>
      </c>
      <c r="J267" s="5">
        <v>0.09</v>
      </c>
      <c r="K267" s="8">
        <v>0.1</v>
      </c>
      <c r="L267" s="8">
        <v>0.12</v>
      </c>
      <c r="M267" s="8">
        <v>0.14000000000000001</v>
      </c>
      <c r="N267" s="8">
        <v>0.17</v>
      </c>
      <c r="O267" s="8">
        <v>0.21</v>
      </c>
      <c r="P267" s="8">
        <v>0.24</v>
      </c>
      <c r="Q267" s="8">
        <v>0.28000000000000003</v>
      </c>
      <c r="R267" s="8">
        <v>0.32</v>
      </c>
      <c r="S267" s="8">
        <v>0.22</v>
      </c>
    </row>
    <row r="268" spans="1:19" x14ac:dyDescent="0.35">
      <c r="B268" s="1" t="s">
        <v>18</v>
      </c>
      <c r="C268">
        <f>C267/C262</f>
        <v>0.87496537466156754</v>
      </c>
      <c r="E268" s="30"/>
      <c r="F268" s="30" t="s">
        <v>3</v>
      </c>
      <c r="G268" s="30">
        <v>0.89</v>
      </c>
      <c r="H268" s="37">
        <v>0.63</v>
      </c>
      <c r="I268" s="37">
        <v>0.54</v>
      </c>
      <c r="J268" s="30">
        <v>0.16</v>
      </c>
      <c r="K268" s="30">
        <v>0.16</v>
      </c>
      <c r="L268" s="30">
        <v>0.18</v>
      </c>
      <c r="M268" s="30">
        <v>0.22</v>
      </c>
      <c r="N268" s="30">
        <v>0.27</v>
      </c>
      <c r="O268" s="30">
        <v>0.35</v>
      </c>
      <c r="P268" s="30">
        <v>0.46</v>
      </c>
      <c r="Q268" s="30">
        <v>0.63</v>
      </c>
      <c r="R268" s="30">
        <v>0.91</v>
      </c>
      <c r="S268" s="30">
        <v>0.22</v>
      </c>
    </row>
    <row r="269" spans="1:19" x14ac:dyDescent="0.35">
      <c r="B269" s="22"/>
      <c r="E269" s="8" t="s">
        <v>6</v>
      </c>
      <c r="F269" s="8" t="s">
        <v>0</v>
      </c>
      <c r="G269" s="8">
        <v>18014</v>
      </c>
      <c r="H269" s="5">
        <v>12220</v>
      </c>
      <c r="I269" s="5">
        <v>12055</v>
      </c>
      <c r="J269">
        <v>4539</v>
      </c>
      <c r="K269">
        <v>6207</v>
      </c>
      <c r="L269" s="22">
        <v>8455</v>
      </c>
      <c r="M269" s="22">
        <v>11245</v>
      </c>
      <c r="N269" s="22">
        <v>14558</v>
      </c>
      <c r="O269" s="22">
        <v>18391</v>
      </c>
      <c r="P269" s="22">
        <v>22337</v>
      </c>
      <c r="Q269" s="22">
        <v>25981</v>
      </c>
      <c r="R269" s="22">
        <v>29014</v>
      </c>
      <c r="S269" s="9">
        <v>34932</v>
      </c>
    </row>
    <row r="270" spans="1:19" x14ac:dyDescent="0.35">
      <c r="B270" s="39" t="s">
        <v>28</v>
      </c>
      <c r="C270" s="40">
        <f>ROUND(C267,0)</f>
        <v>30564</v>
      </c>
      <c r="E270" s="8"/>
      <c r="F270" s="8" t="s">
        <v>2</v>
      </c>
      <c r="G270" s="8">
        <v>18014</v>
      </c>
      <c r="H270" s="5">
        <v>12220</v>
      </c>
      <c r="I270" s="5">
        <v>12055</v>
      </c>
      <c r="J270">
        <v>4539</v>
      </c>
      <c r="K270">
        <v>6207</v>
      </c>
      <c r="L270">
        <v>8455</v>
      </c>
      <c r="M270">
        <v>11245</v>
      </c>
      <c r="N270">
        <v>14558</v>
      </c>
      <c r="O270">
        <v>18391</v>
      </c>
      <c r="P270">
        <v>22337</v>
      </c>
      <c r="Q270">
        <v>25981</v>
      </c>
      <c r="R270">
        <v>29014</v>
      </c>
      <c r="S270">
        <v>6781</v>
      </c>
    </row>
    <row r="271" spans="1:19" x14ac:dyDescent="0.35">
      <c r="B271" s="5"/>
      <c r="E271" s="8"/>
      <c r="F271" s="8" t="s">
        <v>27</v>
      </c>
      <c r="G271" s="8">
        <v>18014</v>
      </c>
      <c r="H271" s="5">
        <v>12220</v>
      </c>
      <c r="I271" s="5">
        <v>12055</v>
      </c>
      <c r="J271">
        <v>4539</v>
      </c>
      <c r="K271">
        <v>6207</v>
      </c>
      <c r="L271">
        <v>8455</v>
      </c>
      <c r="M271">
        <v>11245</v>
      </c>
      <c r="N271">
        <v>14558</v>
      </c>
      <c r="O271">
        <v>18391</v>
      </c>
      <c r="P271">
        <v>22337</v>
      </c>
      <c r="Q271">
        <v>25981</v>
      </c>
      <c r="R271">
        <v>29014</v>
      </c>
      <c r="S271">
        <v>57345</v>
      </c>
    </row>
    <row r="272" spans="1:19" x14ac:dyDescent="0.35">
      <c r="B272" s="5"/>
      <c r="E272" s="8"/>
      <c r="F272" s="8" t="s">
        <v>3</v>
      </c>
      <c r="G272" s="8">
        <v>18014</v>
      </c>
      <c r="H272" s="8">
        <v>12220</v>
      </c>
      <c r="I272" s="8">
        <v>12055</v>
      </c>
      <c r="J272">
        <v>4539</v>
      </c>
      <c r="K272">
        <v>6207</v>
      </c>
      <c r="L272">
        <v>8455</v>
      </c>
      <c r="M272">
        <v>11245</v>
      </c>
      <c r="N272">
        <v>14558</v>
      </c>
      <c r="O272">
        <v>18391</v>
      </c>
      <c r="P272">
        <v>22337</v>
      </c>
      <c r="Q272">
        <v>25981</v>
      </c>
      <c r="R272">
        <v>29014</v>
      </c>
      <c r="S272">
        <v>95987</v>
      </c>
    </row>
    <row r="273" spans="1:19" x14ac:dyDescent="0.35">
      <c r="B273" s="5"/>
      <c r="E273" s="29" t="s">
        <v>4</v>
      </c>
      <c r="F273" s="29" t="s">
        <v>0</v>
      </c>
      <c r="G273" s="29">
        <v>131006</v>
      </c>
      <c r="H273" s="29">
        <v>131990</v>
      </c>
      <c r="I273" s="29">
        <v>133111</v>
      </c>
      <c r="J273" s="29">
        <v>135448</v>
      </c>
      <c r="K273" s="29">
        <v>139807</v>
      </c>
      <c r="L273" s="29">
        <v>145563</v>
      </c>
      <c r="M273" s="29">
        <v>146515</v>
      </c>
      <c r="N273" s="29">
        <v>147180</v>
      </c>
      <c r="O273" s="29">
        <v>147259</v>
      </c>
      <c r="P273" s="29">
        <v>147668</v>
      </c>
      <c r="Q273" s="29">
        <v>147257</v>
      </c>
      <c r="R273" s="29">
        <v>146958</v>
      </c>
      <c r="S273" s="29">
        <v>146891</v>
      </c>
    </row>
    <row r="274" spans="1:19" x14ac:dyDescent="0.35">
      <c r="B274" s="5"/>
      <c r="E274" s="8"/>
      <c r="F274" s="8" t="s">
        <v>2</v>
      </c>
      <c r="G274" s="8">
        <v>26674</v>
      </c>
      <c r="H274" s="8">
        <v>26748</v>
      </c>
      <c r="I274" s="8">
        <v>26796</v>
      </c>
      <c r="J274" s="8">
        <v>26979</v>
      </c>
      <c r="K274" s="8">
        <v>27290</v>
      </c>
      <c r="L274" s="8">
        <v>28293</v>
      </c>
      <c r="M274" s="8">
        <v>29555</v>
      </c>
      <c r="N274" s="8">
        <v>30289</v>
      </c>
      <c r="O274" s="8">
        <v>30753</v>
      </c>
      <c r="P274" s="8">
        <v>30683</v>
      </c>
      <c r="Q274" s="8">
        <v>30550</v>
      </c>
      <c r="R274" s="8">
        <v>30109</v>
      </c>
      <c r="S274" s="8">
        <v>30261</v>
      </c>
    </row>
    <row r="275" spans="1:19" x14ac:dyDescent="0.35">
      <c r="B275" s="22"/>
      <c r="E275" s="8"/>
      <c r="F275" s="8" t="s">
        <v>27</v>
      </c>
      <c r="G275" s="8">
        <v>151002</v>
      </c>
      <c r="H275" s="8">
        <v>155867</v>
      </c>
      <c r="I275" s="8">
        <v>163702</v>
      </c>
      <c r="J275" s="8">
        <v>173567</v>
      </c>
      <c r="K275" s="8">
        <v>187455</v>
      </c>
      <c r="L275" s="8">
        <v>199515</v>
      </c>
      <c r="M275" s="8">
        <v>205484</v>
      </c>
      <c r="N275" s="8">
        <v>210200</v>
      </c>
      <c r="O275" s="8">
        <v>211381</v>
      </c>
      <c r="P275" s="8">
        <v>213462</v>
      </c>
      <c r="Q275" s="8">
        <v>210874</v>
      </c>
      <c r="R275" s="8">
        <v>209018</v>
      </c>
      <c r="S275" s="8">
        <v>207890</v>
      </c>
    </row>
    <row r="276" spans="1:19" x14ac:dyDescent="0.35">
      <c r="B276" s="22"/>
      <c r="E276" s="30"/>
      <c r="F276" s="30" t="s">
        <v>3</v>
      </c>
      <c r="G276" s="30">
        <v>350002</v>
      </c>
      <c r="H276" s="30">
        <v>367731</v>
      </c>
      <c r="I276" s="30">
        <v>376041</v>
      </c>
      <c r="J276" s="30">
        <v>464582</v>
      </c>
      <c r="K276" s="30">
        <v>534608</v>
      </c>
      <c r="L276" s="30">
        <v>712652</v>
      </c>
      <c r="M276" s="30">
        <v>808458</v>
      </c>
      <c r="N276" s="30">
        <v>883783</v>
      </c>
      <c r="O276" s="30">
        <v>887275</v>
      </c>
      <c r="P276" s="30">
        <v>915972</v>
      </c>
      <c r="Q276" s="30">
        <v>875786</v>
      </c>
      <c r="R276" s="30">
        <v>871044</v>
      </c>
      <c r="S276" s="30">
        <v>856946</v>
      </c>
    </row>
    <row r="277" spans="1:19" x14ac:dyDescent="0.35">
      <c r="B277" s="22"/>
      <c r="E277" s="8" t="s">
        <v>5</v>
      </c>
      <c r="F277" s="8" t="s">
        <v>0</v>
      </c>
      <c r="G277" s="8">
        <v>84112</v>
      </c>
      <c r="H277" s="8">
        <v>86380</v>
      </c>
      <c r="I277" s="8">
        <v>94862</v>
      </c>
      <c r="J277">
        <v>103876</v>
      </c>
      <c r="K277">
        <v>120838</v>
      </c>
      <c r="L277">
        <v>140397</v>
      </c>
      <c r="M277">
        <v>161351</v>
      </c>
      <c r="N277">
        <v>182183</v>
      </c>
      <c r="O277">
        <v>201027</v>
      </c>
      <c r="P277">
        <v>216779</v>
      </c>
      <c r="Q277">
        <v>228846</v>
      </c>
      <c r="R277">
        <v>236929</v>
      </c>
      <c r="S277">
        <v>241663</v>
      </c>
    </row>
    <row r="278" spans="1:19" x14ac:dyDescent="0.35">
      <c r="B278" s="22"/>
      <c r="E278" s="8"/>
      <c r="F278" s="8" t="s">
        <v>2</v>
      </c>
      <c r="G278" s="8">
        <v>44855</v>
      </c>
      <c r="H278" s="8">
        <v>42751</v>
      </c>
      <c r="I278" s="8">
        <v>47284</v>
      </c>
      <c r="J278">
        <v>52079</v>
      </c>
      <c r="K278">
        <v>64646</v>
      </c>
      <c r="L278">
        <v>75245</v>
      </c>
      <c r="M278">
        <v>82787</v>
      </c>
      <c r="N278">
        <v>87221</v>
      </c>
      <c r="O278">
        <v>87732</v>
      </c>
      <c r="P278">
        <v>84742</v>
      </c>
      <c r="Q278">
        <v>78310</v>
      </c>
      <c r="R278">
        <v>68669</v>
      </c>
      <c r="S278">
        <v>56830</v>
      </c>
    </row>
    <row r="279" spans="1:19" x14ac:dyDescent="0.35">
      <c r="B279" s="22"/>
      <c r="E279" s="8"/>
      <c r="F279" s="8" t="s">
        <v>27</v>
      </c>
      <c r="G279" s="8">
        <v>107092</v>
      </c>
      <c r="H279" s="8">
        <v>112274</v>
      </c>
      <c r="I279" s="8">
        <v>124403</v>
      </c>
      <c r="J279">
        <v>139888</v>
      </c>
      <c r="K279">
        <v>168099</v>
      </c>
      <c r="L279">
        <v>201280</v>
      </c>
      <c r="M279">
        <v>236469</v>
      </c>
      <c r="N279">
        <v>271797</v>
      </c>
      <c r="O279">
        <v>306598</v>
      </c>
      <c r="P279">
        <v>335773</v>
      </c>
      <c r="Q279">
        <v>358438</v>
      </c>
      <c r="R279">
        <v>373523</v>
      </c>
      <c r="S279">
        <v>381746</v>
      </c>
    </row>
    <row r="280" spans="1:19" x14ac:dyDescent="0.35">
      <c r="B280" s="22"/>
      <c r="E280" s="30"/>
      <c r="F280" s="30" t="s">
        <v>3</v>
      </c>
      <c r="G280" s="30">
        <v>151237</v>
      </c>
      <c r="H280" s="30">
        <v>174970</v>
      </c>
      <c r="I280" s="30">
        <v>211649</v>
      </c>
      <c r="J280" s="30">
        <v>262223</v>
      </c>
      <c r="K280" s="30">
        <v>327457</v>
      </c>
      <c r="L280" s="30">
        <v>390780</v>
      </c>
      <c r="M280" s="30">
        <v>445732</v>
      </c>
      <c r="N280" s="30">
        <v>493040</v>
      </c>
      <c r="O280" s="30">
        <v>534944</v>
      </c>
      <c r="P280" s="30">
        <v>565874</v>
      </c>
      <c r="Q280" s="30">
        <v>588691</v>
      </c>
      <c r="R280" s="30">
        <v>605502</v>
      </c>
      <c r="S280" s="30">
        <v>615143</v>
      </c>
    </row>
    <row r="283" spans="1:19" x14ac:dyDescent="0.35">
      <c r="A283" s="1">
        <f>A259</f>
        <v>2032</v>
      </c>
      <c r="B283" s="2" t="s">
        <v>19</v>
      </c>
      <c r="C283" s="22"/>
      <c r="D283" s="22"/>
      <c r="E283" s="22"/>
      <c r="F283" s="56"/>
      <c r="G283" s="27"/>
      <c r="H283" s="27"/>
      <c r="I283" s="22"/>
      <c r="J283" s="22"/>
      <c r="K283" s="22"/>
      <c r="L283" s="22"/>
      <c r="M283" s="22"/>
    </row>
    <row r="284" spans="1:19" x14ac:dyDescent="0.35">
      <c r="B284" s="22"/>
      <c r="E284" s="30"/>
      <c r="F284" s="30"/>
      <c r="G284" s="30">
        <v>2020</v>
      </c>
      <c r="H284" s="30">
        <v>2021</v>
      </c>
      <c r="I284" s="30">
        <v>2022</v>
      </c>
      <c r="J284" s="30">
        <v>2023</v>
      </c>
      <c r="K284" s="30">
        <v>2024</v>
      </c>
      <c r="L284" s="30">
        <v>2025</v>
      </c>
      <c r="M284" s="30">
        <v>2026</v>
      </c>
      <c r="N284" s="30">
        <v>2027</v>
      </c>
      <c r="O284" s="30">
        <v>2028</v>
      </c>
      <c r="P284" s="30">
        <v>2029</v>
      </c>
      <c r="Q284" s="30">
        <v>2030</v>
      </c>
      <c r="R284" s="30">
        <v>2031</v>
      </c>
      <c r="S284" s="30">
        <v>2032</v>
      </c>
    </row>
    <row r="285" spans="1:19" x14ac:dyDescent="0.35">
      <c r="B285" t="s">
        <v>10</v>
      </c>
      <c r="C285" s="3">
        <f>HLOOKUP(($A283),G284:S285,2,FALSE)</f>
        <v>186886</v>
      </c>
      <c r="E285" s="8" t="s">
        <v>1</v>
      </c>
      <c r="F285" s="8" t="str">
        <f>F165</f>
        <v>Median</v>
      </c>
      <c r="G285" s="8">
        <v>60294</v>
      </c>
      <c r="H285" s="5">
        <v>63619</v>
      </c>
      <c r="I285" s="5">
        <v>70768</v>
      </c>
      <c r="J285">
        <v>82205</v>
      </c>
      <c r="K285" s="22">
        <v>96378</v>
      </c>
      <c r="L285" s="22">
        <v>111512</v>
      </c>
      <c r="M285" s="22">
        <v>126811</v>
      </c>
      <c r="N285" s="22">
        <v>142214</v>
      </c>
      <c r="O285" s="22">
        <v>156433</v>
      </c>
      <c r="P285" s="22">
        <v>168344</v>
      </c>
      <c r="Q285" s="22">
        <v>177517</v>
      </c>
      <c r="R285" s="22">
        <v>183446</v>
      </c>
      <c r="S285" s="9">
        <v>186886</v>
      </c>
    </row>
    <row r="286" spans="1:19" x14ac:dyDescent="0.35">
      <c r="B286" t="s">
        <v>15</v>
      </c>
      <c r="C286" s="22">
        <f>C285/$C$6</f>
        <v>1.0320061847700039</v>
      </c>
      <c r="E286" s="8"/>
      <c r="F286" s="8" t="str">
        <f t="shared" ref="F286:F304" si="5">F166</f>
        <v>5th Percentile</v>
      </c>
      <c r="G286" s="8">
        <v>25841</v>
      </c>
      <c r="H286" s="5">
        <v>24764</v>
      </c>
      <c r="I286" s="5">
        <v>29101</v>
      </c>
      <c r="J286">
        <v>36694</v>
      </c>
      <c r="K286">
        <v>47534</v>
      </c>
      <c r="L286">
        <v>56441</v>
      </c>
      <c r="M286">
        <v>62149</v>
      </c>
      <c r="N286">
        <v>64428</v>
      </c>
      <c r="O286">
        <v>63133</v>
      </c>
      <c r="P286">
        <v>58156</v>
      </c>
      <c r="Q286">
        <v>50023</v>
      </c>
      <c r="R286">
        <v>39275</v>
      </c>
      <c r="S286">
        <v>27049</v>
      </c>
    </row>
    <row r="287" spans="1:19" x14ac:dyDescent="0.35">
      <c r="B287" s="22"/>
      <c r="C287" s="23"/>
      <c r="E287" s="8"/>
      <c r="F287" s="8" t="str">
        <f t="shared" si="5"/>
        <v>75th Percentile</v>
      </c>
      <c r="G287" s="8">
        <v>80434</v>
      </c>
      <c r="H287" s="5">
        <v>86837</v>
      </c>
      <c r="I287" s="5">
        <v>95989</v>
      </c>
      <c r="J287">
        <v>112134</v>
      </c>
      <c r="K287">
        <v>133901</v>
      </c>
      <c r="L287">
        <v>158744</v>
      </c>
      <c r="M287">
        <v>185028</v>
      </c>
      <c r="N287">
        <v>213972</v>
      </c>
      <c r="O287">
        <v>242790</v>
      </c>
      <c r="P287">
        <v>269905</v>
      </c>
      <c r="Q287">
        <v>291348</v>
      </c>
      <c r="R287">
        <v>305622</v>
      </c>
      <c r="S287">
        <v>313031</v>
      </c>
    </row>
    <row r="288" spans="1:19" x14ac:dyDescent="0.35">
      <c r="B288" s="22"/>
      <c r="C288" s="22"/>
      <c r="E288" s="8"/>
      <c r="F288" s="8" t="str">
        <f t="shared" si="5"/>
        <v>95th Percentile</v>
      </c>
      <c r="G288" s="8">
        <v>119119</v>
      </c>
      <c r="H288" s="5">
        <v>136007</v>
      </c>
      <c r="I288" s="5">
        <v>161248</v>
      </c>
      <c r="J288">
        <v>199481</v>
      </c>
      <c r="K288">
        <v>254598</v>
      </c>
      <c r="L288">
        <v>323692</v>
      </c>
      <c r="M288">
        <v>379844</v>
      </c>
      <c r="N288">
        <v>423547</v>
      </c>
      <c r="O288">
        <v>459314</v>
      </c>
      <c r="P288">
        <v>486654</v>
      </c>
      <c r="Q288">
        <v>507277</v>
      </c>
      <c r="R288">
        <v>519688</v>
      </c>
      <c r="S288">
        <v>528594</v>
      </c>
    </row>
    <row r="289" spans="1:19" x14ac:dyDescent="0.35">
      <c r="B289" s="22"/>
      <c r="C289" s="22"/>
      <c r="E289" s="29" t="s">
        <v>9</v>
      </c>
      <c r="F289" s="29" t="str">
        <f t="shared" si="5"/>
        <v>Median</v>
      </c>
      <c r="G289" s="29">
        <v>0.38</v>
      </c>
      <c r="H289" s="32">
        <v>0.23</v>
      </c>
      <c r="I289" s="32">
        <v>0.21</v>
      </c>
      <c r="J289" s="29">
        <v>7.0000000000000007E-2</v>
      </c>
      <c r="K289" s="29">
        <v>0.08</v>
      </c>
      <c r="L289" s="29">
        <v>0.09</v>
      </c>
      <c r="M289" s="29">
        <v>0.1</v>
      </c>
      <c r="N289" s="29">
        <v>0.12</v>
      </c>
      <c r="O289" s="29">
        <v>0.14000000000000001</v>
      </c>
      <c r="P289" s="29">
        <v>0.15</v>
      </c>
      <c r="Q289" s="29">
        <v>0.17</v>
      </c>
      <c r="R289" s="29">
        <v>0.18</v>
      </c>
      <c r="S289" s="29">
        <v>0.19</v>
      </c>
    </row>
    <row r="290" spans="1:19" x14ac:dyDescent="0.35">
      <c r="A290" s="1"/>
      <c r="B290" s="22"/>
      <c r="C290" s="28"/>
      <c r="E290" s="8"/>
      <c r="F290" s="8" t="str">
        <f t="shared" si="5"/>
        <v>5th Percentile</v>
      </c>
      <c r="G290" s="8">
        <v>0.19</v>
      </c>
      <c r="H290" s="5">
        <v>0.11</v>
      </c>
      <c r="I290" s="5">
        <v>0.09</v>
      </c>
      <c r="J290" s="8">
        <v>0.03</v>
      </c>
      <c r="K290" s="8">
        <v>0.03</v>
      </c>
      <c r="L290" s="8">
        <v>0.03</v>
      </c>
      <c r="M290" s="8">
        <v>0.04</v>
      </c>
      <c r="N290" s="8">
        <v>0.04</v>
      </c>
      <c r="O290" s="8">
        <v>0.05</v>
      </c>
      <c r="P290" s="8">
        <v>0.05</v>
      </c>
      <c r="Q290" s="8">
        <v>0.06</v>
      </c>
      <c r="R290" s="8">
        <v>0.06</v>
      </c>
      <c r="S290" s="8">
        <v>0.06</v>
      </c>
    </row>
    <row r="291" spans="1:19" x14ac:dyDescent="0.35">
      <c r="B291" s="38"/>
      <c r="C291" s="22"/>
      <c r="E291" s="8"/>
      <c r="F291" s="8" t="str">
        <f t="shared" si="5"/>
        <v>75th Percentile</v>
      </c>
      <c r="G291" s="8">
        <v>0.51</v>
      </c>
      <c r="H291" s="5">
        <v>0.33</v>
      </c>
      <c r="I291" s="5">
        <v>0.28999999999999998</v>
      </c>
      <c r="J291" s="5">
        <v>0.09</v>
      </c>
      <c r="K291" s="8">
        <v>0.1</v>
      </c>
      <c r="L291" s="8">
        <v>0.12</v>
      </c>
      <c r="M291" s="8">
        <v>0.14000000000000001</v>
      </c>
      <c r="N291" s="8">
        <v>0.17</v>
      </c>
      <c r="O291" s="8">
        <v>0.21</v>
      </c>
      <c r="P291" s="8">
        <v>0.24</v>
      </c>
      <c r="Q291" s="8">
        <v>0.28000000000000003</v>
      </c>
      <c r="R291" s="8">
        <v>0.32</v>
      </c>
      <c r="S291" s="8">
        <v>0.36</v>
      </c>
    </row>
    <row r="292" spans="1:19" x14ac:dyDescent="0.35">
      <c r="B292" s="38"/>
      <c r="C292" s="22"/>
      <c r="E292" s="30"/>
      <c r="F292" s="30" t="str">
        <f t="shared" si="5"/>
        <v>95th Percentile</v>
      </c>
      <c r="G292" s="30">
        <v>0.89</v>
      </c>
      <c r="H292" s="37">
        <v>0.63</v>
      </c>
      <c r="I292" s="37">
        <v>0.54</v>
      </c>
      <c r="J292" s="30">
        <v>0.16</v>
      </c>
      <c r="K292" s="30">
        <v>0.16</v>
      </c>
      <c r="L292" s="30">
        <v>0.18</v>
      </c>
      <c r="M292" s="30">
        <v>0.22</v>
      </c>
      <c r="N292" s="30">
        <v>0.27</v>
      </c>
      <c r="O292" s="30">
        <v>0.35</v>
      </c>
      <c r="P292" s="30">
        <v>0.46</v>
      </c>
      <c r="Q292" s="30">
        <v>0.63</v>
      </c>
      <c r="R292" s="30">
        <v>0.91</v>
      </c>
      <c r="S292" s="30">
        <v>1.37</v>
      </c>
    </row>
    <row r="293" spans="1:19" x14ac:dyDescent="0.35">
      <c r="B293" s="22"/>
      <c r="E293" s="8" t="s">
        <v>6</v>
      </c>
      <c r="F293" s="8" t="str">
        <f t="shared" si="5"/>
        <v>Median</v>
      </c>
      <c r="G293" s="8">
        <v>18014</v>
      </c>
      <c r="H293" s="5">
        <v>12220</v>
      </c>
      <c r="I293" s="5">
        <v>12055</v>
      </c>
      <c r="J293">
        <v>4539</v>
      </c>
      <c r="K293">
        <v>6207</v>
      </c>
      <c r="L293" s="22">
        <v>8455</v>
      </c>
      <c r="M293" s="22">
        <v>11245</v>
      </c>
      <c r="N293" s="22">
        <v>14558</v>
      </c>
      <c r="O293" s="22">
        <v>18391</v>
      </c>
      <c r="P293" s="22">
        <v>22337</v>
      </c>
      <c r="Q293" s="22">
        <v>25981</v>
      </c>
      <c r="R293" s="22">
        <v>29014</v>
      </c>
      <c r="S293" s="22">
        <v>30564</v>
      </c>
    </row>
    <row r="294" spans="1:19" x14ac:dyDescent="0.35">
      <c r="B294" s="5"/>
      <c r="E294" s="8"/>
      <c r="F294" s="8" t="str">
        <f t="shared" si="5"/>
        <v>5th Percentile</v>
      </c>
      <c r="G294" s="8">
        <v>18014</v>
      </c>
      <c r="H294" s="5">
        <v>12220</v>
      </c>
      <c r="I294" s="5">
        <v>12055</v>
      </c>
      <c r="J294">
        <v>4539</v>
      </c>
      <c r="K294">
        <v>6207</v>
      </c>
      <c r="L294">
        <v>8455</v>
      </c>
      <c r="M294">
        <v>11245</v>
      </c>
      <c r="N294">
        <v>14558</v>
      </c>
      <c r="O294">
        <v>18391</v>
      </c>
      <c r="P294">
        <v>22337</v>
      </c>
      <c r="Q294">
        <v>25981</v>
      </c>
      <c r="R294">
        <v>29014</v>
      </c>
      <c r="S294">
        <v>30564</v>
      </c>
    </row>
    <row r="295" spans="1:19" x14ac:dyDescent="0.35">
      <c r="B295" s="5"/>
      <c r="E295" s="8"/>
      <c r="F295" s="8" t="str">
        <f t="shared" si="5"/>
        <v>75th Percentile</v>
      </c>
      <c r="G295" s="8">
        <v>18014</v>
      </c>
      <c r="H295" s="5">
        <v>12220</v>
      </c>
      <c r="I295" s="5">
        <v>12055</v>
      </c>
      <c r="J295">
        <v>4539</v>
      </c>
      <c r="K295">
        <v>6207</v>
      </c>
      <c r="L295">
        <v>8455</v>
      </c>
      <c r="M295">
        <v>11245</v>
      </c>
      <c r="N295">
        <v>14558</v>
      </c>
      <c r="O295">
        <v>18391</v>
      </c>
      <c r="P295">
        <v>22337</v>
      </c>
      <c r="Q295">
        <v>25981</v>
      </c>
      <c r="R295">
        <v>29014</v>
      </c>
      <c r="S295">
        <v>30564</v>
      </c>
    </row>
    <row r="296" spans="1:19" x14ac:dyDescent="0.35">
      <c r="B296" s="5"/>
      <c r="E296" s="8"/>
      <c r="F296" s="8" t="str">
        <f t="shared" si="5"/>
        <v>95th Percentile</v>
      </c>
      <c r="G296" s="8">
        <v>18014</v>
      </c>
      <c r="H296" s="8">
        <v>12220</v>
      </c>
      <c r="I296" s="8">
        <v>12055</v>
      </c>
      <c r="J296">
        <v>4539</v>
      </c>
      <c r="K296">
        <v>6207</v>
      </c>
      <c r="L296">
        <v>8455</v>
      </c>
      <c r="M296">
        <v>11245</v>
      </c>
      <c r="N296">
        <v>14558</v>
      </c>
      <c r="O296">
        <v>18391</v>
      </c>
      <c r="P296">
        <v>22337</v>
      </c>
      <c r="Q296">
        <v>25981</v>
      </c>
      <c r="R296">
        <v>29014</v>
      </c>
      <c r="S296">
        <v>30564</v>
      </c>
    </row>
    <row r="297" spans="1:19" x14ac:dyDescent="0.35">
      <c r="B297" s="5"/>
      <c r="E297" s="29" t="s">
        <v>4</v>
      </c>
      <c r="F297" s="29" t="str">
        <f t="shared" si="5"/>
        <v>Median</v>
      </c>
      <c r="G297" s="29">
        <v>131006</v>
      </c>
      <c r="H297" s="29">
        <v>131990</v>
      </c>
      <c r="I297" s="29">
        <v>133111</v>
      </c>
      <c r="J297" s="29">
        <v>135448</v>
      </c>
      <c r="K297" s="29">
        <v>139807</v>
      </c>
      <c r="L297" s="29">
        <v>145563</v>
      </c>
      <c r="M297" s="29">
        <v>146515</v>
      </c>
      <c r="N297" s="29">
        <v>147180</v>
      </c>
      <c r="O297" s="29">
        <v>147259</v>
      </c>
      <c r="P297" s="29">
        <v>147668</v>
      </c>
      <c r="Q297" s="29">
        <v>147257</v>
      </c>
      <c r="R297" s="29">
        <v>146958</v>
      </c>
      <c r="S297" s="29">
        <v>146680</v>
      </c>
    </row>
    <row r="298" spans="1:19" x14ac:dyDescent="0.35">
      <c r="B298" s="5"/>
      <c r="E298" s="8"/>
      <c r="F298" s="8" t="str">
        <f t="shared" si="5"/>
        <v>5th Percentile</v>
      </c>
      <c r="G298" s="8">
        <v>26674</v>
      </c>
      <c r="H298" s="8">
        <v>26748</v>
      </c>
      <c r="I298" s="8">
        <v>26796</v>
      </c>
      <c r="J298" s="8">
        <v>26979</v>
      </c>
      <c r="K298" s="8">
        <v>27290</v>
      </c>
      <c r="L298" s="8">
        <v>28293</v>
      </c>
      <c r="M298" s="8">
        <v>29555</v>
      </c>
      <c r="N298" s="8">
        <v>30289</v>
      </c>
      <c r="O298" s="8">
        <v>30753</v>
      </c>
      <c r="P298" s="8">
        <v>30683</v>
      </c>
      <c r="Q298" s="8">
        <v>30550</v>
      </c>
      <c r="R298" s="8">
        <v>30109</v>
      </c>
      <c r="S298" s="8">
        <v>29998</v>
      </c>
    </row>
    <row r="299" spans="1:19" x14ac:dyDescent="0.35">
      <c r="B299" s="22"/>
      <c r="E299" s="8"/>
      <c r="F299" s="8" t="str">
        <f t="shared" si="5"/>
        <v>75th Percentile</v>
      </c>
      <c r="G299" s="8">
        <v>151002</v>
      </c>
      <c r="H299" s="8">
        <v>155867</v>
      </c>
      <c r="I299" s="8">
        <v>163702</v>
      </c>
      <c r="J299" s="8">
        <v>173567</v>
      </c>
      <c r="K299" s="8">
        <v>187455</v>
      </c>
      <c r="L299" s="8">
        <v>199515</v>
      </c>
      <c r="M299" s="8">
        <v>205484</v>
      </c>
      <c r="N299" s="8">
        <v>210200</v>
      </c>
      <c r="O299" s="8">
        <v>211381</v>
      </c>
      <c r="P299" s="8">
        <v>213462</v>
      </c>
      <c r="Q299" s="8">
        <v>210874</v>
      </c>
      <c r="R299" s="8">
        <v>209018</v>
      </c>
      <c r="S299" s="8">
        <v>206319</v>
      </c>
    </row>
    <row r="300" spans="1:19" x14ac:dyDescent="0.35">
      <c r="B300" s="22"/>
      <c r="E300" s="30"/>
      <c r="F300" s="30" t="str">
        <f t="shared" si="5"/>
        <v>95th Percentile</v>
      </c>
      <c r="G300" s="30">
        <v>350002</v>
      </c>
      <c r="H300" s="30">
        <v>367731</v>
      </c>
      <c r="I300" s="30">
        <v>376041</v>
      </c>
      <c r="J300" s="30">
        <v>464582</v>
      </c>
      <c r="K300" s="30">
        <v>534608</v>
      </c>
      <c r="L300" s="30">
        <v>712652</v>
      </c>
      <c r="M300" s="30">
        <v>808458</v>
      </c>
      <c r="N300" s="30">
        <v>883783</v>
      </c>
      <c r="O300" s="30">
        <v>887275</v>
      </c>
      <c r="P300" s="30">
        <v>915972</v>
      </c>
      <c r="Q300" s="30">
        <v>875786</v>
      </c>
      <c r="R300" s="30">
        <v>871044</v>
      </c>
      <c r="S300" s="30">
        <v>832179</v>
      </c>
    </row>
    <row r="301" spans="1:19" x14ac:dyDescent="0.35">
      <c r="B301" s="22"/>
      <c r="E301" s="8" t="s">
        <v>5</v>
      </c>
      <c r="F301" s="8" t="str">
        <f t="shared" si="5"/>
        <v>Median</v>
      </c>
      <c r="G301" s="8">
        <v>84112</v>
      </c>
      <c r="H301" s="8">
        <v>86380</v>
      </c>
      <c r="I301" s="8">
        <v>94862</v>
      </c>
      <c r="J301">
        <v>103876</v>
      </c>
      <c r="K301">
        <v>120838</v>
      </c>
      <c r="L301">
        <v>140397</v>
      </c>
      <c r="M301">
        <v>161351</v>
      </c>
      <c r="N301">
        <v>182183</v>
      </c>
      <c r="O301">
        <v>201027</v>
      </c>
      <c r="P301">
        <v>216779</v>
      </c>
      <c r="Q301">
        <v>228846</v>
      </c>
      <c r="R301">
        <v>236929</v>
      </c>
      <c r="S301">
        <v>241663</v>
      </c>
    </row>
    <row r="302" spans="1:19" x14ac:dyDescent="0.35">
      <c r="B302" s="22"/>
      <c r="E302" s="8"/>
      <c r="F302" s="8" t="str">
        <f t="shared" si="5"/>
        <v>5th Percentile</v>
      </c>
      <c r="G302" s="8">
        <v>44855</v>
      </c>
      <c r="H302" s="8">
        <v>42751</v>
      </c>
      <c r="I302" s="8">
        <v>47284</v>
      </c>
      <c r="J302">
        <v>52079</v>
      </c>
      <c r="K302">
        <v>64646</v>
      </c>
      <c r="L302">
        <v>75245</v>
      </c>
      <c r="M302">
        <v>82787</v>
      </c>
      <c r="N302">
        <v>87221</v>
      </c>
      <c r="O302">
        <v>87732</v>
      </c>
      <c r="P302">
        <v>84742</v>
      </c>
      <c r="Q302">
        <v>78310</v>
      </c>
      <c r="R302">
        <v>68669</v>
      </c>
      <c r="S302">
        <v>56830</v>
      </c>
    </row>
    <row r="303" spans="1:19" x14ac:dyDescent="0.35">
      <c r="B303" s="22"/>
      <c r="E303" s="8"/>
      <c r="F303" s="8" t="str">
        <f t="shared" si="5"/>
        <v>75th Percentile</v>
      </c>
      <c r="G303" s="8">
        <v>107092</v>
      </c>
      <c r="H303" s="8">
        <v>112274</v>
      </c>
      <c r="I303" s="8">
        <v>124403</v>
      </c>
      <c r="J303">
        <v>139888</v>
      </c>
      <c r="K303">
        <v>168099</v>
      </c>
      <c r="L303">
        <v>201280</v>
      </c>
      <c r="M303">
        <v>236469</v>
      </c>
      <c r="N303">
        <v>271797</v>
      </c>
      <c r="O303">
        <v>306598</v>
      </c>
      <c r="P303">
        <v>335773</v>
      </c>
      <c r="Q303">
        <v>358438</v>
      </c>
      <c r="R303">
        <v>373523</v>
      </c>
      <c r="S303">
        <v>381746</v>
      </c>
    </row>
    <row r="304" spans="1:19" x14ac:dyDescent="0.35">
      <c r="B304" s="22"/>
      <c r="E304" s="30"/>
      <c r="F304" s="30" t="str">
        <f t="shared" si="5"/>
        <v>95th Percentile</v>
      </c>
      <c r="G304" s="30">
        <v>151237</v>
      </c>
      <c r="H304" s="30">
        <v>174970</v>
      </c>
      <c r="I304" s="30">
        <v>211649</v>
      </c>
      <c r="J304" s="30">
        <v>262223</v>
      </c>
      <c r="K304" s="30">
        <v>327457</v>
      </c>
      <c r="L304" s="30">
        <v>390780</v>
      </c>
      <c r="M304" s="30">
        <v>445732</v>
      </c>
      <c r="N304" s="30">
        <v>493040</v>
      </c>
      <c r="O304" s="30">
        <v>534944</v>
      </c>
      <c r="P304" s="30">
        <v>565874</v>
      </c>
      <c r="Q304" s="30">
        <v>588691</v>
      </c>
      <c r="R304" s="30">
        <v>605502</v>
      </c>
      <c r="S304" s="30">
        <v>615143</v>
      </c>
    </row>
    <row r="311" spans="10:11" ht="14.5" customHeight="1" x14ac:dyDescent="0.35"/>
    <row r="316" spans="10:11" ht="16.5" customHeight="1" x14ac:dyDescent="0.35">
      <c r="J316" s="35"/>
      <c r="K316" s="33"/>
    </row>
    <row r="317" spans="10:11" ht="15" customHeight="1" x14ac:dyDescent="0.35">
      <c r="J317" s="3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7"/>
  <sheetViews>
    <sheetView zoomScale="110" zoomScaleNormal="110" workbookViewId="0"/>
  </sheetViews>
  <sheetFormatPr defaultRowHeight="14.5" x14ac:dyDescent="0.35"/>
  <cols>
    <col min="2" max="2" width="10.90625" customWidth="1"/>
    <col min="3" max="3" width="15" customWidth="1"/>
    <col min="5" max="5" width="9.1796875" customWidth="1"/>
    <col min="6" max="6" width="12.54296875" customWidth="1"/>
    <col min="7" max="8" width="10.1796875" style="22" customWidth="1"/>
  </cols>
  <sheetData>
    <row r="1" spans="1:8" x14ac:dyDescent="0.35">
      <c r="A1" s="1" t="s">
        <v>31</v>
      </c>
      <c r="B1" s="1"/>
    </row>
    <row r="2" spans="1:8" x14ac:dyDescent="0.35">
      <c r="A2" s="10"/>
      <c r="B2" s="1"/>
    </row>
    <row r="3" spans="1:8" x14ac:dyDescent="0.35">
      <c r="A3" s="2" t="s">
        <v>8</v>
      </c>
      <c r="B3" s="1"/>
    </row>
    <row r="4" spans="1:8" ht="15" thickBot="1" x14ac:dyDescent="0.4">
      <c r="A4" s="10"/>
      <c r="B4" s="1"/>
    </row>
    <row r="5" spans="1:8" x14ac:dyDescent="0.35">
      <c r="A5" s="10"/>
      <c r="B5" s="11" t="s">
        <v>29</v>
      </c>
      <c r="C5" s="12">
        <v>0.14000000000000001</v>
      </c>
      <c r="E5" s="22"/>
      <c r="F5" s="22"/>
      <c r="G5"/>
      <c r="H5"/>
    </row>
    <row r="6" spans="1:8" ht="15" thickBot="1" x14ac:dyDescent="0.4">
      <c r="A6" s="10"/>
      <c r="B6" s="13" t="s">
        <v>10</v>
      </c>
      <c r="C6" s="14">
        <v>181090</v>
      </c>
      <c r="E6" s="22"/>
      <c r="F6" s="22"/>
      <c r="G6"/>
      <c r="H6"/>
    </row>
    <row r="7" spans="1:8" x14ac:dyDescent="0.35">
      <c r="A7" s="10"/>
      <c r="B7" s="10"/>
    </row>
    <row r="8" spans="1:8" x14ac:dyDescent="0.35">
      <c r="A8" s="10"/>
    </row>
    <row r="9" spans="1:8" x14ac:dyDescent="0.35">
      <c r="A9" s="2" t="s">
        <v>25</v>
      </c>
      <c r="B9" s="2"/>
    </row>
    <row r="10" spans="1:8" ht="15" thickBot="1" x14ac:dyDescent="0.4"/>
    <row r="11" spans="1:8" x14ac:dyDescent="0.35">
      <c r="B11" s="15"/>
      <c r="C11" s="12" t="s">
        <v>26</v>
      </c>
      <c r="E11" s="22"/>
      <c r="F11" s="22"/>
      <c r="G11"/>
      <c r="H11"/>
    </row>
    <row r="12" spans="1:8" x14ac:dyDescent="0.35">
      <c r="B12" s="16">
        <v>2020</v>
      </c>
      <c r="C12" s="17">
        <v>18013.599999999999</v>
      </c>
      <c r="D12" s="7"/>
      <c r="E12" s="26"/>
      <c r="F12" s="26"/>
      <c r="G12" s="7"/>
      <c r="H12"/>
    </row>
    <row r="13" spans="1:8" x14ac:dyDescent="0.35">
      <c r="B13" s="16">
        <v>2021</v>
      </c>
      <c r="C13" s="17">
        <v>12220.4</v>
      </c>
      <c r="D13" s="7"/>
      <c r="E13" s="26"/>
      <c r="F13" s="26"/>
      <c r="G13" s="7"/>
      <c r="H13"/>
    </row>
    <row r="14" spans="1:8" ht="15" thickBot="1" x14ac:dyDescent="0.4">
      <c r="B14" s="18">
        <v>2022</v>
      </c>
      <c r="C14" s="19">
        <v>12054.9</v>
      </c>
      <c r="D14" s="7"/>
      <c r="E14" s="26"/>
      <c r="F14" s="26"/>
      <c r="G14" s="7"/>
      <c r="H14"/>
    </row>
    <row r="15" spans="1:8" x14ac:dyDescent="0.35">
      <c r="B15" s="4"/>
    </row>
    <row r="17" spans="1:9" x14ac:dyDescent="0.35">
      <c r="A17" s="2" t="s">
        <v>11</v>
      </c>
    </row>
    <row r="18" spans="1:9" ht="15" thickBot="1" x14ac:dyDescent="0.4"/>
    <row r="19" spans="1:9" ht="15" thickBot="1" x14ac:dyDescent="0.4">
      <c r="B19" s="20" t="s">
        <v>12</v>
      </c>
      <c r="C19" s="21">
        <v>1.5</v>
      </c>
    </row>
    <row r="20" spans="1:9" x14ac:dyDescent="0.35">
      <c r="D20" s="8"/>
      <c r="E20" s="25"/>
    </row>
    <row r="22" spans="1:9" x14ac:dyDescent="0.35">
      <c r="A22" s="34" t="s">
        <v>20</v>
      </c>
      <c r="B22" s="9"/>
    </row>
    <row r="23" spans="1:9" ht="15" thickBot="1" x14ac:dyDescent="0.4"/>
    <row r="24" spans="1:9" x14ac:dyDescent="0.35">
      <c r="B24" s="15" t="s">
        <v>21</v>
      </c>
      <c r="C24" s="41" t="s">
        <v>24</v>
      </c>
      <c r="D24" s="41" t="s">
        <v>14</v>
      </c>
      <c r="E24" s="41" t="s">
        <v>7</v>
      </c>
      <c r="F24" s="41" t="s">
        <v>22</v>
      </c>
      <c r="G24" s="42" t="s">
        <v>9</v>
      </c>
      <c r="H24" s="42" t="s">
        <v>10</v>
      </c>
      <c r="I24" s="43" t="s">
        <v>15</v>
      </c>
    </row>
    <row r="25" spans="1:9" x14ac:dyDescent="0.35">
      <c r="B25" s="16">
        <v>2020</v>
      </c>
      <c r="C25" s="5">
        <f t="shared" ref="C25:C37" si="0">HLOOKUP($B25,$G$284:$S$293,10,FALSE)</f>
        <v>18014</v>
      </c>
      <c r="D25" s="5" t="s">
        <v>23</v>
      </c>
      <c r="E25" s="5" t="s">
        <v>23</v>
      </c>
      <c r="F25" s="5" t="s">
        <v>23</v>
      </c>
      <c r="G25" s="5">
        <f t="shared" ref="G25:G37" si="1">HLOOKUP($B25,$G$284:$S$289,6,FALSE)</f>
        <v>0.38</v>
      </c>
      <c r="H25" s="5">
        <f t="shared" ref="H25:H37" si="2">HLOOKUP($B25,$G$284:$S$285,2,FALSE)</f>
        <v>60294</v>
      </c>
      <c r="I25" s="44">
        <f>H25/$C$6</f>
        <v>0.33295046661880834</v>
      </c>
    </row>
    <row r="26" spans="1:9" x14ac:dyDescent="0.35">
      <c r="B26" s="16">
        <v>2021</v>
      </c>
      <c r="C26" s="5">
        <f t="shared" si="0"/>
        <v>12220</v>
      </c>
      <c r="D26" s="5" t="s">
        <v>23</v>
      </c>
      <c r="E26" s="5" t="s">
        <v>23</v>
      </c>
      <c r="F26" s="5" t="s">
        <v>23</v>
      </c>
      <c r="G26" s="5">
        <f t="shared" si="1"/>
        <v>0.23</v>
      </c>
      <c r="H26" s="5">
        <f t="shared" si="2"/>
        <v>63619</v>
      </c>
      <c r="I26" s="44">
        <f t="shared" ref="I26:I27" si="3">H26/$C$6</f>
        <v>0.35131150256778398</v>
      </c>
    </row>
    <row r="27" spans="1:9" x14ac:dyDescent="0.35">
      <c r="B27" s="16">
        <v>2022</v>
      </c>
      <c r="C27" s="5">
        <f t="shared" si="0"/>
        <v>12055</v>
      </c>
      <c r="D27" s="5" t="s">
        <v>23</v>
      </c>
      <c r="E27" s="5" t="s">
        <v>23</v>
      </c>
      <c r="F27" s="5" t="s">
        <v>23</v>
      </c>
      <c r="G27" s="5">
        <f t="shared" si="1"/>
        <v>0.21</v>
      </c>
      <c r="H27" s="5">
        <f t="shared" si="2"/>
        <v>70768</v>
      </c>
      <c r="I27" s="44">
        <f t="shared" si="3"/>
        <v>0.39078911038710035</v>
      </c>
    </row>
    <row r="28" spans="1:9" x14ac:dyDescent="0.35">
      <c r="B28" s="16">
        <v>2023</v>
      </c>
      <c r="C28" s="5">
        <f t="shared" si="0"/>
        <v>2976</v>
      </c>
      <c r="D28" s="45">
        <f>C46</f>
        <v>9371</v>
      </c>
      <c r="E28" s="45">
        <f>C51</f>
        <v>2976.4712152986135</v>
      </c>
      <c r="F28" s="46">
        <f>C50</f>
        <v>0.14539455519355016</v>
      </c>
      <c r="G28" s="5">
        <f t="shared" si="1"/>
        <v>0.04</v>
      </c>
      <c r="H28" s="5">
        <f t="shared" si="2"/>
        <v>82832</v>
      </c>
      <c r="I28" s="44">
        <f>H28/$C$6</f>
        <v>0.45740791871445136</v>
      </c>
    </row>
    <row r="29" spans="1:9" x14ac:dyDescent="0.35">
      <c r="B29" s="16">
        <v>2024</v>
      </c>
      <c r="C29" s="5">
        <f t="shared" si="0"/>
        <v>4168</v>
      </c>
      <c r="D29" s="47">
        <f>C70</f>
        <v>11321</v>
      </c>
      <c r="E29" s="8">
        <f>C75</f>
        <v>4168.3105757432322</v>
      </c>
      <c r="F29" s="48">
        <f>C74</f>
        <v>0.17870395935722566</v>
      </c>
      <c r="G29" s="5">
        <f t="shared" si="1"/>
        <v>0.05</v>
      </c>
      <c r="H29" s="5">
        <f t="shared" si="2"/>
        <v>98752</v>
      </c>
      <c r="I29" s="44">
        <f t="shared" ref="I29:I37" si="4">H29/$C$6</f>
        <v>0.54532000662653934</v>
      </c>
    </row>
    <row r="30" spans="1:9" x14ac:dyDescent="0.35">
      <c r="B30" s="16">
        <v>2025</v>
      </c>
      <c r="C30" s="5">
        <f t="shared" si="0"/>
        <v>5879</v>
      </c>
      <c r="D30" s="49">
        <f>C94</f>
        <v>13464</v>
      </c>
      <c r="E30" s="49">
        <f>C99</f>
        <v>5879.0827385539751</v>
      </c>
      <c r="F30" s="50">
        <f>C98</f>
        <v>0.22266000331326968</v>
      </c>
      <c r="G30" s="5">
        <f t="shared" si="1"/>
        <v>0.06</v>
      </c>
      <c r="H30" s="5">
        <f t="shared" si="2"/>
        <v>116414</v>
      </c>
      <c r="I30" s="44">
        <f t="shared" si="4"/>
        <v>0.64285162074106794</v>
      </c>
    </row>
    <row r="31" spans="1:9" x14ac:dyDescent="0.35">
      <c r="B31" s="16">
        <v>2026</v>
      </c>
      <c r="C31" s="5">
        <f t="shared" si="0"/>
        <v>8127</v>
      </c>
      <c r="D31" s="51">
        <f>C118</f>
        <v>15734</v>
      </c>
      <c r="E31" s="49">
        <f>C123</f>
        <v>8127.014117430339</v>
      </c>
      <c r="F31" s="50">
        <f>C122</f>
        <v>0.27142581037053398</v>
      </c>
      <c r="G31" s="5">
        <f t="shared" si="1"/>
        <v>7.0000000000000007E-2</v>
      </c>
      <c r="H31" s="5">
        <f t="shared" si="2"/>
        <v>134870</v>
      </c>
      <c r="I31" s="44">
        <f t="shared" si="4"/>
        <v>0.74476779501905133</v>
      </c>
    </row>
    <row r="32" spans="1:9" x14ac:dyDescent="0.35">
      <c r="B32" s="63">
        <v>2027</v>
      </c>
      <c r="C32" s="5">
        <f t="shared" si="0"/>
        <v>10978</v>
      </c>
      <c r="D32" s="60">
        <f>C142</f>
        <v>18110</v>
      </c>
      <c r="E32" s="61">
        <f>C147</f>
        <v>10978.391693993963</v>
      </c>
      <c r="F32" s="62">
        <f>C146</f>
        <v>0.32238389750952567</v>
      </c>
      <c r="G32" s="5">
        <f t="shared" si="1"/>
        <v>0.08</v>
      </c>
      <c r="H32" s="5">
        <f t="shared" si="2"/>
        <v>154147</v>
      </c>
      <c r="I32" s="64">
        <f t="shared" si="4"/>
        <v>0.85121762659451106</v>
      </c>
    </row>
    <row r="33" spans="1:19" x14ac:dyDescent="0.35">
      <c r="B33" s="16">
        <v>2028</v>
      </c>
      <c r="C33" s="5">
        <f t="shared" si="0"/>
        <v>14519</v>
      </c>
      <c r="D33" s="57">
        <f>C166</f>
        <v>20484</v>
      </c>
      <c r="E33" s="58">
        <f>C171</f>
        <v>14518.926775716396</v>
      </c>
      <c r="F33" s="59">
        <f>C170</f>
        <v>0.37560881329725554</v>
      </c>
      <c r="G33" s="5">
        <f t="shared" si="1"/>
        <v>0.1</v>
      </c>
      <c r="H33" s="5">
        <f t="shared" si="2"/>
        <v>172753</v>
      </c>
      <c r="I33" s="44">
        <f t="shared" si="4"/>
        <v>0.95396211828372635</v>
      </c>
    </row>
    <row r="34" spans="1:19" x14ac:dyDescent="0.35">
      <c r="B34" s="16">
        <v>2029</v>
      </c>
      <c r="C34" s="5">
        <f t="shared" si="0"/>
        <v>18487</v>
      </c>
      <c r="D34" s="57">
        <f>C190</f>
        <v>22576</v>
      </c>
      <c r="E34" s="58">
        <f>C195</f>
        <v>18486.766162011616</v>
      </c>
      <c r="F34" s="59">
        <f>C194</f>
        <v>0.42698105914186318</v>
      </c>
      <c r="G34" s="5">
        <f t="shared" si="1"/>
        <v>0.11</v>
      </c>
      <c r="H34" s="5">
        <f t="shared" si="2"/>
        <v>188964</v>
      </c>
      <c r="I34" s="44">
        <f t="shared" si="4"/>
        <v>1.0434811419736043</v>
      </c>
    </row>
    <row r="35" spans="1:19" x14ac:dyDescent="0.35">
      <c r="B35" s="16">
        <v>2030</v>
      </c>
      <c r="C35" s="5">
        <f t="shared" si="0"/>
        <v>21394</v>
      </c>
      <c r="D35" s="57">
        <f>C214</f>
        <v>24288</v>
      </c>
      <c r="E35" s="58">
        <f>C219</f>
        <v>21393.627924134762</v>
      </c>
      <c r="F35" s="59">
        <f>C218</f>
        <v>0.45347849135788831</v>
      </c>
      <c r="G35" s="5">
        <f t="shared" si="1"/>
        <v>0.12</v>
      </c>
      <c r="H35" s="5">
        <f t="shared" si="2"/>
        <v>202302</v>
      </c>
      <c r="I35" s="44">
        <f t="shared" si="4"/>
        <v>1.1171351261803524</v>
      </c>
    </row>
    <row r="36" spans="1:19" x14ac:dyDescent="0.35">
      <c r="B36" s="16">
        <v>2031</v>
      </c>
      <c r="C36" s="5">
        <f t="shared" si="0"/>
        <v>23034</v>
      </c>
      <c r="D36" s="57">
        <f>C238</f>
        <v>25732</v>
      </c>
      <c r="E36" s="58">
        <f>C243</f>
        <v>23034.142365686563</v>
      </c>
      <c r="F36" s="59">
        <f>C242</f>
        <v>0.45937081009442821</v>
      </c>
      <c r="G36" s="5">
        <f t="shared" si="1"/>
        <v>0.12</v>
      </c>
      <c r="H36" s="5">
        <f t="shared" si="2"/>
        <v>213674</v>
      </c>
      <c r="I36" s="44">
        <f t="shared" si="4"/>
        <v>1.1799326301838864</v>
      </c>
      <c r="K36" s="66" t="s">
        <v>30</v>
      </c>
      <c r="L36" s="9"/>
      <c r="M36" s="9"/>
    </row>
    <row r="37" spans="1:19" ht="15" thickBot="1" x14ac:dyDescent="0.4">
      <c r="B37" s="18">
        <v>2032</v>
      </c>
      <c r="C37" s="52">
        <f t="shared" si="0"/>
        <v>24459</v>
      </c>
      <c r="D37" s="53">
        <f>C262</f>
        <v>26951</v>
      </c>
      <c r="E37" s="54">
        <f>C267</f>
        <v>24458.967794773285</v>
      </c>
      <c r="F37" s="55">
        <f>C266</f>
        <v>0.46439461041471092</v>
      </c>
      <c r="G37" s="52">
        <f t="shared" si="1"/>
        <v>0.13</v>
      </c>
      <c r="H37" s="52">
        <f t="shared" si="2"/>
        <v>222817</v>
      </c>
      <c r="I37" s="65">
        <f t="shared" si="4"/>
        <v>1.2304213374565134</v>
      </c>
      <c r="K37">
        <v>0.623</v>
      </c>
    </row>
    <row r="40" spans="1:19" x14ac:dyDescent="0.35">
      <c r="A40" t="s">
        <v>13</v>
      </c>
    </row>
    <row r="43" spans="1:19" x14ac:dyDescent="0.35">
      <c r="A43" s="1">
        <f>B14+1</f>
        <v>2023</v>
      </c>
      <c r="B43" t="str">
        <f>CONCATENATE("(F = ",$B$5," in ",A43," onward)")</f>
        <v>(F = Frebuild in 2023 onward)</v>
      </c>
      <c r="F43" s="31"/>
      <c r="G43" s="27"/>
      <c r="H43" s="27"/>
    </row>
    <row r="44" spans="1:19" x14ac:dyDescent="0.35">
      <c r="B44" s="22"/>
      <c r="E44" s="30"/>
      <c r="F44" s="30"/>
      <c r="G44" s="30">
        <v>2020</v>
      </c>
      <c r="H44" s="30">
        <v>2021</v>
      </c>
      <c r="I44" s="30">
        <v>2022</v>
      </c>
      <c r="J44" s="30">
        <v>2023</v>
      </c>
      <c r="K44" s="30">
        <v>2024</v>
      </c>
      <c r="L44" s="30">
        <v>2025</v>
      </c>
      <c r="M44" s="30">
        <v>2026</v>
      </c>
      <c r="N44" s="30">
        <v>2027</v>
      </c>
      <c r="O44" s="30">
        <v>2028</v>
      </c>
      <c r="P44" s="30">
        <v>2029</v>
      </c>
      <c r="Q44" s="30">
        <v>2030</v>
      </c>
      <c r="R44" s="30">
        <v>2031</v>
      </c>
      <c r="S44" s="30">
        <v>2032</v>
      </c>
    </row>
    <row r="45" spans="1:19" x14ac:dyDescent="0.35">
      <c r="B45" t="s">
        <v>10</v>
      </c>
      <c r="C45" s="3">
        <f>HLOOKUP(($A43-1),G44:S45,2,FALSE)</f>
        <v>70768</v>
      </c>
      <c r="E45" s="8" t="s">
        <v>1</v>
      </c>
      <c r="F45" s="8" t="s">
        <v>0</v>
      </c>
      <c r="G45" s="8">
        <v>60294</v>
      </c>
      <c r="H45" s="5">
        <v>63619</v>
      </c>
      <c r="I45" s="36">
        <v>70768</v>
      </c>
      <c r="J45">
        <v>80215</v>
      </c>
      <c r="K45">
        <v>89949</v>
      </c>
      <c r="L45">
        <v>100486</v>
      </c>
      <c r="M45">
        <v>111737</v>
      </c>
      <c r="N45">
        <v>124305</v>
      </c>
      <c r="O45">
        <v>137457</v>
      </c>
      <c r="P45">
        <v>151050</v>
      </c>
      <c r="Q45">
        <v>164694</v>
      </c>
      <c r="R45">
        <v>177355</v>
      </c>
      <c r="S45">
        <v>188731</v>
      </c>
    </row>
    <row r="46" spans="1:19" x14ac:dyDescent="0.35">
      <c r="B46" t="s">
        <v>14</v>
      </c>
      <c r="C46" s="3">
        <f>HLOOKUP($A43,G44:S53,10,FALSE)</f>
        <v>9371</v>
      </c>
      <c r="E46" s="8"/>
      <c r="F46" s="8" t="s">
        <v>2</v>
      </c>
      <c r="G46" s="8">
        <v>25841</v>
      </c>
      <c r="H46" s="8">
        <v>24764</v>
      </c>
      <c r="I46" s="8">
        <v>29101</v>
      </c>
      <c r="J46">
        <v>36834</v>
      </c>
      <c r="K46">
        <v>47961</v>
      </c>
      <c r="L46">
        <v>57318</v>
      </c>
      <c r="M46">
        <v>64491</v>
      </c>
      <c r="N46">
        <v>70001</v>
      </c>
      <c r="O46">
        <v>74496</v>
      </c>
      <c r="P46">
        <v>78223</v>
      </c>
      <c r="Q46">
        <v>81850</v>
      </c>
      <c r="R46">
        <v>85485</v>
      </c>
      <c r="S46">
        <v>89743</v>
      </c>
    </row>
    <row r="47" spans="1:19" x14ac:dyDescent="0.35">
      <c r="B47" t="s">
        <v>15</v>
      </c>
      <c r="C47" s="22">
        <f>C45/$C$6</f>
        <v>0.39078911038710035</v>
      </c>
      <c r="E47" s="8"/>
      <c r="F47" s="8" t="s">
        <v>27</v>
      </c>
      <c r="G47" s="8">
        <v>80434</v>
      </c>
      <c r="H47" s="8">
        <v>86837</v>
      </c>
      <c r="I47" s="8">
        <v>95989</v>
      </c>
      <c r="J47">
        <v>108783</v>
      </c>
      <c r="K47">
        <v>122498</v>
      </c>
      <c r="L47">
        <v>138866</v>
      </c>
      <c r="M47">
        <v>156340</v>
      </c>
      <c r="N47">
        <v>176690</v>
      </c>
      <c r="O47">
        <v>198788</v>
      </c>
      <c r="P47">
        <v>221036</v>
      </c>
      <c r="Q47">
        <v>240978</v>
      </c>
      <c r="R47">
        <v>258547</v>
      </c>
      <c r="S47">
        <v>271874</v>
      </c>
    </row>
    <row r="48" spans="1:19" x14ac:dyDescent="0.35">
      <c r="B48" s="22" t="s">
        <v>12</v>
      </c>
      <c r="C48" s="23">
        <f>$C$19</f>
        <v>1.5</v>
      </c>
      <c r="E48" s="8"/>
      <c r="F48" s="8" t="s">
        <v>3</v>
      </c>
      <c r="G48" s="8">
        <v>119119</v>
      </c>
      <c r="H48" s="8">
        <v>136007</v>
      </c>
      <c r="I48" s="8">
        <v>161248</v>
      </c>
      <c r="J48">
        <v>192310</v>
      </c>
      <c r="K48">
        <v>229779</v>
      </c>
      <c r="L48">
        <v>279235</v>
      </c>
      <c r="M48">
        <v>314180</v>
      </c>
      <c r="N48">
        <v>340650</v>
      </c>
      <c r="O48">
        <v>365433</v>
      </c>
      <c r="P48">
        <v>386507</v>
      </c>
      <c r="Q48">
        <v>404362</v>
      </c>
      <c r="R48">
        <v>419100</v>
      </c>
      <c r="S48">
        <v>430882</v>
      </c>
    </row>
    <row r="49" spans="1:19" x14ac:dyDescent="0.35">
      <c r="B49" t="s">
        <v>16</v>
      </c>
      <c r="C49">
        <f>SQRT(LN(C48^2+1))</f>
        <v>1.085658784490618</v>
      </c>
      <c r="E49" s="29" t="s">
        <v>9</v>
      </c>
      <c r="F49" s="29" t="s">
        <v>0</v>
      </c>
      <c r="G49" s="29">
        <v>0.38</v>
      </c>
      <c r="H49" s="29">
        <v>0.23</v>
      </c>
      <c r="I49" s="29">
        <v>0.21</v>
      </c>
      <c r="J49" s="29">
        <v>0.14000000000000001</v>
      </c>
      <c r="K49" s="29">
        <v>0.14000000000000001</v>
      </c>
      <c r="L49" s="29">
        <v>0.14000000000000001</v>
      </c>
      <c r="M49" s="29">
        <v>0.14000000000000001</v>
      </c>
      <c r="N49" s="29">
        <v>0.14000000000000001</v>
      </c>
      <c r="O49" s="29">
        <v>0.14000000000000001</v>
      </c>
      <c r="P49" s="29">
        <v>0.14000000000000001</v>
      </c>
      <c r="Q49" s="29">
        <v>0.14000000000000001</v>
      </c>
      <c r="R49" s="29">
        <v>0.14000000000000001</v>
      </c>
      <c r="S49" s="29">
        <v>0.14000000000000001</v>
      </c>
    </row>
    <row r="50" spans="1:19" x14ac:dyDescent="0.35">
      <c r="A50" s="1"/>
      <c r="B50" t="s">
        <v>17</v>
      </c>
      <c r="C50" s="6">
        <f>IF(C47&gt;=1.5,0.49,IF(C47&lt;0.1,0,IF(C47&lt;1,-0.05+0.5*C47,0.08*(C47)+0.37)))</f>
        <v>0.14539455519355016</v>
      </c>
      <c r="E50" s="8"/>
      <c r="F50" s="8" t="s">
        <v>2</v>
      </c>
      <c r="G50" s="8">
        <v>0.19</v>
      </c>
      <c r="H50" s="8">
        <v>0.11</v>
      </c>
      <c r="I50" s="8">
        <v>0.09</v>
      </c>
      <c r="J50" s="8">
        <v>0.14000000000000001</v>
      </c>
      <c r="K50" s="8">
        <v>0.14000000000000001</v>
      </c>
      <c r="L50" s="8">
        <v>0.14000000000000001</v>
      </c>
      <c r="M50" s="8">
        <v>0.14000000000000001</v>
      </c>
      <c r="N50" s="8">
        <v>0.14000000000000001</v>
      </c>
      <c r="O50" s="8">
        <v>0.14000000000000001</v>
      </c>
      <c r="P50" s="8">
        <v>0.14000000000000001</v>
      </c>
      <c r="Q50" s="8">
        <v>0.14000000000000001</v>
      </c>
      <c r="R50" s="8">
        <v>0.14000000000000001</v>
      </c>
      <c r="S50" s="8">
        <v>0.14000000000000001</v>
      </c>
    </row>
    <row r="51" spans="1:19" x14ac:dyDescent="0.35">
      <c r="B51" s="1" t="s">
        <v>7</v>
      </c>
      <c r="C51" s="24">
        <f>_xlfn.LOGNORM.INV(C50,LN(C46),C49)</f>
        <v>2976.4712152986135</v>
      </c>
      <c r="E51" s="8"/>
      <c r="F51" s="8" t="s">
        <v>27</v>
      </c>
      <c r="G51" s="8">
        <v>0.51</v>
      </c>
      <c r="H51" s="8">
        <v>0.33</v>
      </c>
      <c r="I51" s="5">
        <v>0.28999999999999998</v>
      </c>
      <c r="J51" s="5">
        <v>0.14000000000000001</v>
      </c>
      <c r="K51" s="8">
        <v>0.14000000000000001</v>
      </c>
      <c r="L51" s="8">
        <v>0.14000000000000001</v>
      </c>
      <c r="M51" s="8">
        <v>0.14000000000000001</v>
      </c>
      <c r="N51" s="8">
        <v>0.14000000000000001</v>
      </c>
      <c r="O51" s="8">
        <v>0.14000000000000001</v>
      </c>
      <c r="P51" s="8">
        <v>0.14000000000000001</v>
      </c>
      <c r="Q51" s="8">
        <v>0.14000000000000001</v>
      </c>
      <c r="R51" s="8">
        <v>0.14000000000000001</v>
      </c>
      <c r="S51" s="8">
        <v>0.14000000000000001</v>
      </c>
    </row>
    <row r="52" spans="1:19" x14ac:dyDescent="0.35">
      <c r="B52" s="1" t="s">
        <v>18</v>
      </c>
      <c r="C52">
        <f>C51/C46</f>
        <v>0.31762578329939317</v>
      </c>
      <c r="E52" s="30"/>
      <c r="F52" s="30" t="s">
        <v>3</v>
      </c>
      <c r="G52" s="30">
        <v>0.89</v>
      </c>
      <c r="H52" s="30">
        <v>0.63</v>
      </c>
      <c r="I52" s="30">
        <v>0.54</v>
      </c>
      <c r="J52" s="30">
        <v>0.14000000000000001</v>
      </c>
      <c r="K52" s="30">
        <v>0.14000000000000001</v>
      </c>
      <c r="L52" s="30">
        <v>0.14000000000000001</v>
      </c>
      <c r="M52" s="30">
        <v>0.14000000000000001</v>
      </c>
      <c r="N52" s="30">
        <v>0.14000000000000001</v>
      </c>
      <c r="O52" s="30">
        <v>0.14000000000000001</v>
      </c>
      <c r="P52" s="30">
        <v>0.14000000000000001</v>
      </c>
      <c r="Q52" s="30">
        <v>0.14000000000000001</v>
      </c>
      <c r="R52" s="30">
        <v>0.14000000000000001</v>
      </c>
      <c r="S52" s="30">
        <v>0.14000000000000001</v>
      </c>
    </row>
    <row r="53" spans="1:19" x14ac:dyDescent="0.35">
      <c r="B53" s="22"/>
      <c r="E53" s="8" t="s">
        <v>6</v>
      </c>
      <c r="F53" s="8" t="s">
        <v>0</v>
      </c>
      <c r="G53" s="8">
        <v>18014</v>
      </c>
      <c r="H53" s="8">
        <v>12220</v>
      </c>
      <c r="I53" s="5">
        <v>12055</v>
      </c>
      <c r="J53" s="9">
        <v>9371</v>
      </c>
      <c r="K53">
        <v>10591</v>
      </c>
      <c r="L53">
        <v>11883</v>
      </c>
      <c r="M53">
        <v>13252</v>
      </c>
      <c r="N53">
        <v>14764</v>
      </c>
      <c r="O53">
        <v>16365</v>
      </c>
      <c r="P53">
        <v>18001</v>
      </c>
      <c r="Q53">
        <v>19665</v>
      </c>
      <c r="R53">
        <v>21257</v>
      </c>
      <c r="S53">
        <v>22672</v>
      </c>
    </row>
    <row r="54" spans="1:19" x14ac:dyDescent="0.35">
      <c r="B54" s="39" t="s">
        <v>28</v>
      </c>
      <c r="C54" s="40">
        <f>ROUND(C51,0)</f>
        <v>2976</v>
      </c>
      <c r="E54" s="8"/>
      <c r="F54" s="8" t="s">
        <v>2</v>
      </c>
      <c r="G54" s="8">
        <v>18014</v>
      </c>
      <c r="H54" s="8">
        <v>12220</v>
      </c>
      <c r="I54" s="8">
        <v>12055</v>
      </c>
      <c r="J54">
        <v>4108</v>
      </c>
      <c r="K54">
        <v>5438</v>
      </c>
      <c r="L54">
        <v>6657</v>
      </c>
      <c r="M54">
        <v>7610</v>
      </c>
      <c r="N54">
        <v>8380</v>
      </c>
      <c r="O54">
        <v>8994</v>
      </c>
      <c r="P54">
        <v>9501</v>
      </c>
      <c r="Q54">
        <v>9966</v>
      </c>
      <c r="R54">
        <v>10451</v>
      </c>
      <c r="S54">
        <v>10979</v>
      </c>
    </row>
    <row r="55" spans="1:19" x14ac:dyDescent="0.35">
      <c r="B55" s="5"/>
      <c r="E55" s="8"/>
      <c r="F55" s="8" t="s">
        <v>27</v>
      </c>
      <c r="G55" s="8">
        <v>18014</v>
      </c>
      <c r="H55" s="8">
        <v>12220</v>
      </c>
      <c r="I55" s="8">
        <v>12055</v>
      </c>
      <c r="J55">
        <v>12827</v>
      </c>
      <c r="K55">
        <v>14499</v>
      </c>
      <c r="L55">
        <v>16358</v>
      </c>
      <c r="M55">
        <v>18440</v>
      </c>
      <c r="N55">
        <v>20797</v>
      </c>
      <c r="O55">
        <v>23421</v>
      </c>
      <c r="P55">
        <v>26079</v>
      </c>
      <c r="Q55">
        <v>28568</v>
      </c>
      <c r="R55">
        <v>30748</v>
      </c>
      <c r="S55">
        <v>32550</v>
      </c>
    </row>
    <row r="56" spans="1:19" x14ac:dyDescent="0.35">
      <c r="B56" s="5"/>
      <c r="E56" s="8"/>
      <c r="F56" s="8" t="s">
        <v>3</v>
      </c>
      <c r="G56" s="8">
        <v>18014</v>
      </c>
      <c r="H56" s="8">
        <v>12220</v>
      </c>
      <c r="I56" s="8">
        <v>12055</v>
      </c>
      <c r="J56">
        <v>22472</v>
      </c>
      <c r="K56">
        <v>26374</v>
      </c>
      <c r="L56">
        <v>31512</v>
      </c>
      <c r="M56">
        <v>36167</v>
      </c>
      <c r="N56">
        <v>39612</v>
      </c>
      <c r="O56">
        <v>42740</v>
      </c>
      <c r="P56">
        <v>45463</v>
      </c>
      <c r="Q56">
        <v>47663</v>
      </c>
      <c r="R56">
        <v>49493</v>
      </c>
      <c r="S56">
        <v>51133</v>
      </c>
    </row>
    <row r="57" spans="1:19" x14ac:dyDescent="0.35">
      <c r="B57" s="5"/>
      <c r="E57" s="29" t="s">
        <v>4</v>
      </c>
      <c r="F57" s="29" t="s">
        <v>0</v>
      </c>
      <c r="G57" s="29">
        <v>131006</v>
      </c>
      <c r="H57" s="29">
        <v>131990</v>
      </c>
      <c r="I57" s="29">
        <v>133111</v>
      </c>
      <c r="J57" s="29">
        <v>134912</v>
      </c>
      <c r="K57" s="29">
        <v>137618</v>
      </c>
      <c r="L57" s="29">
        <v>141861</v>
      </c>
      <c r="M57" s="29">
        <v>145764</v>
      </c>
      <c r="N57" s="29">
        <v>146840</v>
      </c>
      <c r="O57" s="29">
        <v>149536</v>
      </c>
      <c r="P57" s="29">
        <v>155280</v>
      </c>
      <c r="Q57" s="29">
        <v>155435</v>
      </c>
      <c r="R57" s="29">
        <v>155533</v>
      </c>
      <c r="S57" s="29">
        <v>157790</v>
      </c>
    </row>
    <row r="58" spans="1:19" x14ac:dyDescent="0.35">
      <c r="B58" s="5"/>
      <c r="E58" s="8"/>
      <c r="F58" s="8" t="s">
        <v>2</v>
      </c>
      <c r="G58" s="8">
        <v>26674</v>
      </c>
      <c r="H58" s="8">
        <v>26748</v>
      </c>
      <c r="I58" s="8">
        <v>26796</v>
      </c>
      <c r="J58" s="8">
        <v>26945</v>
      </c>
      <c r="K58" s="8">
        <v>27141</v>
      </c>
      <c r="L58" s="8">
        <v>27449</v>
      </c>
      <c r="M58" s="8">
        <v>28504</v>
      </c>
      <c r="N58" s="8">
        <v>29745</v>
      </c>
      <c r="O58" s="8">
        <v>31230</v>
      </c>
      <c r="P58" s="8">
        <v>32276</v>
      </c>
      <c r="Q58" s="8">
        <v>33064</v>
      </c>
      <c r="R58" s="8">
        <v>33543</v>
      </c>
      <c r="S58" s="8">
        <v>34351</v>
      </c>
    </row>
    <row r="59" spans="1:19" x14ac:dyDescent="0.35">
      <c r="B59" s="22"/>
      <c r="E59" s="8"/>
      <c r="F59" s="8" t="s">
        <v>27</v>
      </c>
      <c r="G59" s="8">
        <v>151002</v>
      </c>
      <c r="H59" s="8">
        <v>155867</v>
      </c>
      <c r="I59" s="8">
        <v>163702</v>
      </c>
      <c r="J59" s="8">
        <v>172341</v>
      </c>
      <c r="K59" s="8">
        <v>181244</v>
      </c>
      <c r="L59" s="8">
        <v>194939</v>
      </c>
      <c r="M59" s="8">
        <v>200029</v>
      </c>
      <c r="N59" s="8">
        <v>206885</v>
      </c>
      <c r="O59" s="8">
        <v>214336</v>
      </c>
      <c r="P59" s="8">
        <v>222446</v>
      </c>
      <c r="Q59" s="8">
        <v>224096</v>
      </c>
      <c r="R59" s="8">
        <v>225821</v>
      </c>
      <c r="S59" s="8">
        <v>226907</v>
      </c>
    </row>
    <row r="60" spans="1:19" x14ac:dyDescent="0.35">
      <c r="B60" s="22"/>
      <c r="E60" s="30"/>
      <c r="F60" s="30" t="s">
        <v>3</v>
      </c>
      <c r="G60" s="30">
        <v>350002</v>
      </c>
      <c r="H60" s="30">
        <v>367731</v>
      </c>
      <c r="I60" s="30">
        <v>376041</v>
      </c>
      <c r="J60" s="30">
        <v>426083</v>
      </c>
      <c r="K60" s="30">
        <v>511816</v>
      </c>
      <c r="L60" s="30">
        <v>616738</v>
      </c>
      <c r="M60" s="30">
        <v>723659</v>
      </c>
      <c r="N60" s="30">
        <v>852893</v>
      </c>
      <c r="O60" s="30">
        <v>917246</v>
      </c>
      <c r="P60" s="30">
        <v>1001982</v>
      </c>
      <c r="Q60" s="30">
        <v>1024194</v>
      </c>
      <c r="R60" s="30">
        <v>1058077</v>
      </c>
      <c r="S60" s="30">
        <v>1066149</v>
      </c>
    </row>
    <row r="61" spans="1:19" x14ac:dyDescent="0.35">
      <c r="B61" s="22"/>
      <c r="E61" s="8" t="s">
        <v>5</v>
      </c>
      <c r="F61" s="8" t="s">
        <v>0</v>
      </c>
      <c r="G61" s="8">
        <v>84112</v>
      </c>
      <c r="H61" s="8">
        <v>86380</v>
      </c>
      <c r="I61" s="8">
        <v>94862</v>
      </c>
      <c r="J61">
        <v>103876</v>
      </c>
      <c r="K61">
        <v>115751</v>
      </c>
      <c r="L61">
        <v>129034</v>
      </c>
      <c r="M61">
        <v>143776</v>
      </c>
      <c r="N61">
        <v>160237</v>
      </c>
      <c r="O61">
        <v>177623</v>
      </c>
      <c r="P61">
        <v>194675</v>
      </c>
      <c r="Q61">
        <v>211390</v>
      </c>
      <c r="R61">
        <v>226395</v>
      </c>
      <c r="S61">
        <v>240121</v>
      </c>
    </row>
    <row r="62" spans="1:19" x14ac:dyDescent="0.35">
      <c r="B62" s="22"/>
      <c r="E62" s="8"/>
      <c r="F62" s="8" t="s">
        <v>2</v>
      </c>
      <c r="G62" s="8">
        <v>44855</v>
      </c>
      <c r="H62" s="8">
        <v>42751</v>
      </c>
      <c r="I62" s="8">
        <v>47284</v>
      </c>
      <c r="J62">
        <v>52079</v>
      </c>
      <c r="K62">
        <v>64595</v>
      </c>
      <c r="L62">
        <v>75083</v>
      </c>
      <c r="M62">
        <v>83238</v>
      </c>
      <c r="N62">
        <v>89970</v>
      </c>
      <c r="O62">
        <v>95298</v>
      </c>
      <c r="P62">
        <v>100161</v>
      </c>
      <c r="Q62">
        <v>104992</v>
      </c>
      <c r="R62">
        <v>110135</v>
      </c>
      <c r="S62">
        <v>115635</v>
      </c>
    </row>
    <row r="63" spans="1:19" x14ac:dyDescent="0.35">
      <c r="B63" s="22"/>
      <c r="E63" s="8"/>
      <c r="F63" s="8" t="s">
        <v>27</v>
      </c>
      <c r="G63" s="8">
        <v>107092</v>
      </c>
      <c r="H63" s="8">
        <v>112274</v>
      </c>
      <c r="I63" s="8">
        <v>124403</v>
      </c>
      <c r="J63">
        <v>139888</v>
      </c>
      <c r="K63">
        <v>158513</v>
      </c>
      <c r="L63">
        <v>180539</v>
      </c>
      <c r="M63">
        <v>204663</v>
      </c>
      <c r="N63">
        <v>231667</v>
      </c>
      <c r="O63">
        <v>260598</v>
      </c>
      <c r="P63">
        <v>286414</v>
      </c>
      <c r="Q63">
        <v>308764</v>
      </c>
      <c r="R63">
        <v>327129</v>
      </c>
      <c r="S63">
        <v>341657</v>
      </c>
    </row>
    <row r="64" spans="1:19" x14ac:dyDescent="0.35">
      <c r="B64" s="22"/>
      <c r="E64" s="30"/>
      <c r="F64" s="30" t="s">
        <v>3</v>
      </c>
      <c r="G64" s="30">
        <v>151237</v>
      </c>
      <c r="H64" s="30">
        <v>174970</v>
      </c>
      <c r="I64" s="30">
        <v>211649</v>
      </c>
      <c r="J64" s="30">
        <v>262223</v>
      </c>
      <c r="K64" s="30">
        <v>310201</v>
      </c>
      <c r="L64" s="30">
        <v>354508</v>
      </c>
      <c r="M64" s="30">
        <v>388892</v>
      </c>
      <c r="N64" s="30">
        <v>419201</v>
      </c>
      <c r="O64" s="30">
        <v>447804</v>
      </c>
      <c r="P64" s="30">
        <v>470274</v>
      </c>
      <c r="Q64" s="30">
        <v>489826</v>
      </c>
      <c r="R64" s="30">
        <v>507161</v>
      </c>
      <c r="S64" s="30">
        <v>521253</v>
      </c>
    </row>
    <row r="65" spans="1:19" x14ac:dyDescent="0.35">
      <c r="B65" s="22"/>
      <c r="E65" s="8"/>
      <c r="F65" s="8"/>
      <c r="G65" s="8"/>
      <c r="H65" s="8"/>
      <c r="I65" s="8"/>
    </row>
    <row r="66" spans="1:19" x14ac:dyDescent="0.35">
      <c r="B66" s="22"/>
      <c r="E66" s="8"/>
      <c r="F66" s="8"/>
      <c r="G66" s="8"/>
      <c r="H66" s="8"/>
      <c r="I66" s="8"/>
    </row>
    <row r="67" spans="1:19" x14ac:dyDescent="0.35">
      <c r="A67" s="1">
        <f>A43+1</f>
        <v>2024</v>
      </c>
      <c r="B67" t="str">
        <f>CONCATENATE("(F = ",$B$5," in ",A67," onward)")</f>
        <v>(F = Frebuild in 2024 onward)</v>
      </c>
      <c r="F67" s="31"/>
      <c r="G67" s="27"/>
      <c r="H67" s="27"/>
    </row>
    <row r="68" spans="1:19" x14ac:dyDescent="0.35">
      <c r="B68" s="22"/>
      <c r="E68" s="30"/>
      <c r="F68" s="30"/>
      <c r="G68" s="30">
        <v>2020</v>
      </c>
      <c r="H68" s="30">
        <v>2021</v>
      </c>
      <c r="I68" s="30">
        <v>2022</v>
      </c>
      <c r="J68" s="30">
        <v>2023</v>
      </c>
      <c r="K68" s="30">
        <v>2024</v>
      </c>
      <c r="L68" s="30">
        <v>2025</v>
      </c>
      <c r="M68" s="30">
        <v>2026</v>
      </c>
      <c r="N68" s="30">
        <v>2027</v>
      </c>
      <c r="O68" s="30">
        <v>2028</v>
      </c>
      <c r="P68" s="30">
        <v>2029</v>
      </c>
      <c r="Q68" s="30">
        <v>2030</v>
      </c>
      <c r="R68" s="30">
        <v>2031</v>
      </c>
      <c r="S68" s="30">
        <v>2032</v>
      </c>
    </row>
    <row r="69" spans="1:19" x14ac:dyDescent="0.35">
      <c r="B69" t="s">
        <v>10</v>
      </c>
      <c r="C69" s="3">
        <f>HLOOKUP(($A67-1),G68:S69,2,FALSE)</f>
        <v>82832</v>
      </c>
      <c r="E69" s="8" t="s">
        <v>1</v>
      </c>
      <c r="F69" s="8" t="s">
        <v>0</v>
      </c>
      <c r="G69" s="8">
        <v>60294</v>
      </c>
      <c r="H69" s="5">
        <v>63619</v>
      </c>
      <c r="I69" s="5">
        <v>70768</v>
      </c>
      <c r="J69" s="9">
        <v>82832</v>
      </c>
      <c r="K69">
        <v>95818</v>
      </c>
      <c r="L69">
        <v>106465</v>
      </c>
      <c r="M69">
        <v>118085</v>
      </c>
      <c r="N69">
        <v>130830</v>
      </c>
      <c r="O69">
        <v>144023</v>
      </c>
      <c r="P69">
        <v>157493</v>
      </c>
      <c r="Q69">
        <v>170720</v>
      </c>
      <c r="R69">
        <v>182707</v>
      </c>
      <c r="S69">
        <v>193390</v>
      </c>
    </row>
    <row r="70" spans="1:19" x14ac:dyDescent="0.35">
      <c r="B70" t="s">
        <v>14</v>
      </c>
      <c r="C70" s="3">
        <f>HLOOKUP($A67,G68:S77,10,FALSE)</f>
        <v>11321</v>
      </c>
      <c r="E70" s="8"/>
      <c r="F70" s="8" t="s">
        <v>2</v>
      </c>
      <c r="G70" s="8">
        <v>25841</v>
      </c>
      <c r="H70" s="8">
        <v>24764</v>
      </c>
      <c r="I70" s="8">
        <v>29101</v>
      </c>
      <c r="J70">
        <v>37294</v>
      </c>
      <c r="K70">
        <v>49264</v>
      </c>
      <c r="L70">
        <v>58794</v>
      </c>
      <c r="M70">
        <v>66060</v>
      </c>
      <c r="N70">
        <v>71495</v>
      </c>
      <c r="O70">
        <v>75983</v>
      </c>
      <c r="P70">
        <v>79737</v>
      </c>
      <c r="Q70">
        <v>83480</v>
      </c>
      <c r="R70">
        <v>87456</v>
      </c>
      <c r="S70">
        <v>91883</v>
      </c>
    </row>
    <row r="71" spans="1:19" x14ac:dyDescent="0.35">
      <c r="B71" t="s">
        <v>15</v>
      </c>
      <c r="C71" s="22">
        <f>C69/$C$6</f>
        <v>0.45740791871445136</v>
      </c>
      <c r="E71" s="8"/>
      <c r="F71" s="8" t="s">
        <v>27</v>
      </c>
      <c r="G71" s="8">
        <v>80434</v>
      </c>
      <c r="H71" s="8">
        <v>86837</v>
      </c>
      <c r="I71" s="8">
        <v>95989</v>
      </c>
      <c r="J71">
        <v>112755</v>
      </c>
      <c r="K71">
        <v>131621</v>
      </c>
      <c r="L71">
        <v>147700</v>
      </c>
      <c r="M71">
        <v>165636</v>
      </c>
      <c r="N71">
        <v>186520</v>
      </c>
      <c r="O71">
        <v>208755</v>
      </c>
      <c r="P71">
        <v>230678</v>
      </c>
      <c r="Q71">
        <v>249308</v>
      </c>
      <c r="R71">
        <v>265193</v>
      </c>
      <c r="S71">
        <v>277056</v>
      </c>
    </row>
    <row r="72" spans="1:19" x14ac:dyDescent="0.35">
      <c r="B72" s="22" t="s">
        <v>12</v>
      </c>
      <c r="C72" s="23">
        <f>$C$19</f>
        <v>1.5</v>
      </c>
      <c r="E72" s="8"/>
      <c r="F72" s="8" t="s">
        <v>3</v>
      </c>
      <c r="G72" s="8">
        <v>119119</v>
      </c>
      <c r="H72" s="8">
        <v>136007</v>
      </c>
      <c r="I72" s="8">
        <v>161248</v>
      </c>
      <c r="J72">
        <v>200081</v>
      </c>
      <c r="K72">
        <v>247153</v>
      </c>
      <c r="L72">
        <v>294405</v>
      </c>
      <c r="M72">
        <v>327321</v>
      </c>
      <c r="N72">
        <v>353014</v>
      </c>
      <c r="O72">
        <v>375529</v>
      </c>
      <c r="P72">
        <v>395176</v>
      </c>
      <c r="Q72">
        <v>411443</v>
      </c>
      <c r="R72">
        <v>424618</v>
      </c>
      <c r="S72">
        <v>435467</v>
      </c>
    </row>
    <row r="73" spans="1:19" x14ac:dyDescent="0.35">
      <c r="B73" t="s">
        <v>16</v>
      </c>
      <c r="C73">
        <f>SQRT(LN(C72^2+1))</f>
        <v>1.085658784490618</v>
      </c>
      <c r="E73" s="29" t="s">
        <v>9</v>
      </c>
      <c r="F73" s="29" t="s">
        <v>0</v>
      </c>
      <c r="G73" s="29">
        <v>0.38</v>
      </c>
      <c r="H73" s="29">
        <v>0.23</v>
      </c>
      <c r="I73" s="29">
        <v>0.21</v>
      </c>
      <c r="J73" s="29">
        <v>0.04</v>
      </c>
      <c r="K73" s="29">
        <v>0.14000000000000001</v>
      </c>
      <c r="L73" s="29">
        <v>0.14000000000000001</v>
      </c>
      <c r="M73" s="29">
        <v>0.14000000000000001</v>
      </c>
      <c r="N73" s="29">
        <v>0.14000000000000001</v>
      </c>
      <c r="O73" s="29">
        <v>0.14000000000000001</v>
      </c>
      <c r="P73" s="29">
        <v>0.14000000000000001</v>
      </c>
      <c r="Q73" s="29">
        <v>0.14000000000000001</v>
      </c>
      <c r="R73" s="29">
        <v>0.14000000000000001</v>
      </c>
      <c r="S73" s="29">
        <v>0.14000000000000001</v>
      </c>
    </row>
    <row r="74" spans="1:19" x14ac:dyDescent="0.35">
      <c r="A74" s="1"/>
      <c r="B74" t="s">
        <v>17</v>
      </c>
      <c r="C74" s="6">
        <f>IF(C71&gt;=1.5,0.49,IF(C71&lt;0.1,0,IF(C71&lt;1,-0.05+0.5*C71,0.08*(C71)+0.37)))</f>
        <v>0.17870395935722566</v>
      </c>
      <c r="E74" s="8"/>
      <c r="F74" s="8" t="s">
        <v>2</v>
      </c>
      <c r="G74" s="8">
        <v>0.19</v>
      </c>
      <c r="H74" s="8">
        <v>0.11</v>
      </c>
      <c r="I74" s="8">
        <v>0.09</v>
      </c>
      <c r="J74" s="8">
        <v>0.02</v>
      </c>
      <c r="K74" s="8">
        <v>0.14000000000000001</v>
      </c>
      <c r="L74" s="8">
        <v>0.14000000000000001</v>
      </c>
      <c r="M74" s="8">
        <v>0.14000000000000001</v>
      </c>
      <c r="N74" s="8">
        <v>0.14000000000000001</v>
      </c>
      <c r="O74" s="8">
        <v>0.14000000000000001</v>
      </c>
      <c r="P74" s="8">
        <v>0.14000000000000001</v>
      </c>
      <c r="Q74" s="8">
        <v>0.14000000000000001</v>
      </c>
      <c r="R74" s="8">
        <v>0.14000000000000001</v>
      </c>
      <c r="S74" s="8">
        <v>0.14000000000000001</v>
      </c>
    </row>
    <row r="75" spans="1:19" x14ac:dyDescent="0.35">
      <c r="B75" s="1" t="s">
        <v>7</v>
      </c>
      <c r="C75" s="24">
        <f>_xlfn.LOGNORM.INV(C74,LN(C70),C73)</f>
        <v>4168.3105757432322</v>
      </c>
      <c r="E75" s="8"/>
      <c r="F75" s="8" t="s">
        <v>27</v>
      </c>
      <c r="G75" s="8">
        <v>0.51</v>
      </c>
      <c r="H75" s="8">
        <v>0.33</v>
      </c>
      <c r="I75" s="5">
        <v>0.28999999999999998</v>
      </c>
      <c r="J75" s="5">
        <v>0.06</v>
      </c>
      <c r="K75" s="8">
        <v>0.14000000000000001</v>
      </c>
      <c r="L75" s="8">
        <v>0.14000000000000001</v>
      </c>
      <c r="M75" s="8">
        <v>0.14000000000000001</v>
      </c>
      <c r="N75" s="8">
        <v>0.14000000000000001</v>
      </c>
      <c r="O75" s="8">
        <v>0.14000000000000001</v>
      </c>
      <c r="P75" s="8">
        <v>0.14000000000000001</v>
      </c>
      <c r="Q75" s="8">
        <v>0.14000000000000001</v>
      </c>
      <c r="R75" s="8">
        <v>0.14000000000000001</v>
      </c>
      <c r="S75" s="8">
        <v>0.14000000000000001</v>
      </c>
    </row>
    <row r="76" spans="1:19" x14ac:dyDescent="0.35">
      <c r="B76" s="1" t="s">
        <v>18</v>
      </c>
      <c r="C76">
        <f>C75/C70</f>
        <v>0.36819279001353522</v>
      </c>
      <c r="E76" s="30"/>
      <c r="F76" s="30" t="s">
        <v>3</v>
      </c>
      <c r="G76" s="30">
        <v>0.89</v>
      </c>
      <c r="H76" s="30">
        <v>0.63</v>
      </c>
      <c r="I76" s="30">
        <v>0.54</v>
      </c>
      <c r="J76" s="30">
        <v>0.1</v>
      </c>
      <c r="K76" s="30">
        <v>0.14000000000000001</v>
      </c>
      <c r="L76" s="30">
        <v>0.14000000000000001</v>
      </c>
      <c r="M76" s="30">
        <v>0.14000000000000001</v>
      </c>
      <c r="N76" s="30">
        <v>0.14000000000000001</v>
      </c>
      <c r="O76" s="30">
        <v>0.14000000000000001</v>
      </c>
      <c r="P76" s="30">
        <v>0.14000000000000001</v>
      </c>
      <c r="Q76" s="30">
        <v>0.14000000000000001</v>
      </c>
      <c r="R76" s="30">
        <v>0.14000000000000001</v>
      </c>
      <c r="S76" s="30">
        <v>0.14000000000000001</v>
      </c>
    </row>
    <row r="77" spans="1:19" x14ac:dyDescent="0.35">
      <c r="B77" s="22"/>
      <c r="E77" s="8" t="s">
        <v>6</v>
      </c>
      <c r="F77" s="8" t="s">
        <v>0</v>
      </c>
      <c r="G77" s="8">
        <v>18014</v>
      </c>
      <c r="H77" s="8">
        <v>12220</v>
      </c>
      <c r="I77" s="5">
        <v>12055</v>
      </c>
      <c r="J77" s="22">
        <v>2976</v>
      </c>
      <c r="K77" s="9">
        <v>11321</v>
      </c>
      <c r="L77">
        <v>12613</v>
      </c>
      <c r="M77">
        <v>14032</v>
      </c>
      <c r="N77">
        <v>15568</v>
      </c>
      <c r="O77">
        <v>17177</v>
      </c>
      <c r="P77">
        <v>18792</v>
      </c>
      <c r="Q77">
        <v>20412</v>
      </c>
      <c r="R77">
        <v>21929</v>
      </c>
      <c r="S77">
        <v>23269</v>
      </c>
    </row>
    <row r="78" spans="1:19" x14ac:dyDescent="0.35">
      <c r="B78" s="39" t="s">
        <v>28</v>
      </c>
      <c r="C78" s="40">
        <f>ROUND(C75,0)</f>
        <v>4168</v>
      </c>
      <c r="E78" s="8"/>
      <c r="F78" s="8" t="s">
        <v>2</v>
      </c>
      <c r="G78" s="8">
        <v>18014</v>
      </c>
      <c r="H78" s="8">
        <v>12220</v>
      </c>
      <c r="I78" s="8">
        <v>12055</v>
      </c>
      <c r="J78">
        <v>2976</v>
      </c>
      <c r="K78">
        <v>5580</v>
      </c>
      <c r="L78">
        <v>6828</v>
      </c>
      <c r="M78">
        <v>7788</v>
      </c>
      <c r="N78">
        <v>8557</v>
      </c>
      <c r="O78">
        <v>9167</v>
      </c>
      <c r="P78">
        <v>9678</v>
      </c>
      <c r="Q78">
        <v>10161</v>
      </c>
      <c r="R78">
        <v>10678</v>
      </c>
      <c r="S78">
        <v>11229</v>
      </c>
    </row>
    <row r="79" spans="1:19" x14ac:dyDescent="0.35">
      <c r="B79" s="5"/>
      <c r="E79" s="8"/>
      <c r="F79" s="8" t="s">
        <v>27</v>
      </c>
      <c r="G79" s="8">
        <v>18014</v>
      </c>
      <c r="H79" s="8">
        <v>12220</v>
      </c>
      <c r="I79" s="8">
        <v>12055</v>
      </c>
      <c r="J79">
        <v>2976</v>
      </c>
      <c r="K79">
        <v>15641</v>
      </c>
      <c r="L79">
        <v>17462</v>
      </c>
      <c r="M79">
        <v>19593</v>
      </c>
      <c r="N79">
        <v>22024</v>
      </c>
      <c r="O79">
        <v>24626</v>
      </c>
      <c r="P79">
        <v>27261</v>
      </c>
      <c r="Q79">
        <v>29637</v>
      </c>
      <c r="R79">
        <v>31622</v>
      </c>
      <c r="S79">
        <v>33220</v>
      </c>
    </row>
    <row r="80" spans="1:19" x14ac:dyDescent="0.35">
      <c r="B80" s="5"/>
      <c r="E80" s="8"/>
      <c r="F80" s="8" t="s">
        <v>3</v>
      </c>
      <c r="G80" s="8">
        <v>18014</v>
      </c>
      <c r="H80" s="8">
        <v>12220</v>
      </c>
      <c r="I80" s="8">
        <v>12055</v>
      </c>
      <c r="J80">
        <v>2976</v>
      </c>
      <c r="K80">
        <v>28483</v>
      </c>
      <c r="L80">
        <v>33365</v>
      </c>
      <c r="M80">
        <v>37880</v>
      </c>
      <c r="N80">
        <v>41195</v>
      </c>
      <c r="O80">
        <v>44095</v>
      </c>
      <c r="P80">
        <v>46581</v>
      </c>
      <c r="Q80">
        <v>48590</v>
      </c>
      <c r="R80">
        <v>50273</v>
      </c>
      <c r="S80">
        <v>51723</v>
      </c>
    </row>
    <row r="81" spans="1:19" x14ac:dyDescent="0.35">
      <c r="B81" s="5"/>
      <c r="E81" s="29" t="s">
        <v>4</v>
      </c>
      <c r="F81" s="29" t="s">
        <v>0</v>
      </c>
      <c r="G81" s="29">
        <v>131006</v>
      </c>
      <c r="H81" s="29">
        <v>131990</v>
      </c>
      <c r="I81" s="29">
        <v>133111</v>
      </c>
      <c r="J81" s="29">
        <v>135596</v>
      </c>
      <c r="K81" s="29">
        <v>139693</v>
      </c>
      <c r="L81" s="29">
        <v>144116</v>
      </c>
      <c r="M81" s="29">
        <v>146239</v>
      </c>
      <c r="N81" s="29">
        <v>147257</v>
      </c>
      <c r="O81" s="29">
        <v>152107</v>
      </c>
      <c r="P81" s="29">
        <v>155363</v>
      </c>
      <c r="Q81" s="29">
        <v>155488</v>
      </c>
      <c r="R81" s="29">
        <v>156702</v>
      </c>
      <c r="S81" s="29">
        <v>159107</v>
      </c>
    </row>
    <row r="82" spans="1:19" x14ac:dyDescent="0.35">
      <c r="B82" s="5"/>
      <c r="E82" s="8"/>
      <c r="F82" s="8" t="s">
        <v>2</v>
      </c>
      <c r="G82" s="8">
        <v>26674</v>
      </c>
      <c r="H82" s="8">
        <v>26748</v>
      </c>
      <c r="I82" s="8">
        <v>26796</v>
      </c>
      <c r="J82" s="8">
        <v>26989</v>
      </c>
      <c r="K82" s="8">
        <v>27284</v>
      </c>
      <c r="L82" s="8">
        <v>27823</v>
      </c>
      <c r="M82" s="8">
        <v>29178</v>
      </c>
      <c r="N82" s="8">
        <v>30399</v>
      </c>
      <c r="O82" s="8">
        <v>31672</v>
      </c>
      <c r="P82" s="8">
        <v>32658</v>
      </c>
      <c r="Q82" s="8">
        <v>33433</v>
      </c>
      <c r="R82" s="8">
        <v>33825</v>
      </c>
      <c r="S82" s="8">
        <v>34473</v>
      </c>
    </row>
    <row r="83" spans="1:19" x14ac:dyDescent="0.35">
      <c r="B83" s="22"/>
      <c r="E83" s="8"/>
      <c r="F83" s="8" t="s">
        <v>27</v>
      </c>
      <c r="G83" s="8">
        <v>151002</v>
      </c>
      <c r="H83" s="8">
        <v>155867</v>
      </c>
      <c r="I83" s="8">
        <v>163702</v>
      </c>
      <c r="J83" s="8">
        <v>173979</v>
      </c>
      <c r="K83" s="8">
        <v>186998</v>
      </c>
      <c r="L83" s="8">
        <v>198956</v>
      </c>
      <c r="M83" s="8">
        <v>203709</v>
      </c>
      <c r="N83" s="8">
        <v>211147</v>
      </c>
      <c r="O83" s="8">
        <v>217404</v>
      </c>
      <c r="P83" s="8">
        <v>223605</v>
      </c>
      <c r="Q83" s="8">
        <v>225037</v>
      </c>
      <c r="R83" s="8">
        <v>226466</v>
      </c>
      <c r="S83" s="8">
        <v>227426</v>
      </c>
    </row>
    <row r="84" spans="1:19" x14ac:dyDescent="0.35">
      <c r="B84" s="22"/>
      <c r="E84" s="30"/>
      <c r="F84" s="30" t="s">
        <v>3</v>
      </c>
      <c r="G84" s="30">
        <v>350002</v>
      </c>
      <c r="H84" s="30">
        <v>367731</v>
      </c>
      <c r="I84" s="30">
        <v>376041</v>
      </c>
      <c r="J84" s="30">
        <v>476154</v>
      </c>
      <c r="K84" s="30">
        <v>528979</v>
      </c>
      <c r="L84" s="30">
        <v>686113</v>
      </c>
      <c r="M84" s="30">
        <v>772177</v>
      </c>
      <c r="N84" s="30">
        <v>897064</v>
      </c>
      <c r="O84" s="30">
        <v>946196</v>
      </c>
      <c r="P84" s="30">
        <v>1017672</v>
      </c>
      <c r="Q84" s="30">
        <v>1034886</v>
      </c>
      <c r="R84" s="30">
        <v>1069631</v>
      </c>
      <c r="S84" s="30">
        <v>1072558</v>
      </c>
    </row>
    <row r="85" spans="1:19" x14ac:dyDescent="0.35">
      <c r="B85" s="22"/>
      <c r="E85" s="8" t="s">
        <v>5</v>
      </c>
      <c r="F85" s="8" t="s">
        <v>0</v>
      </c>
      <c r="G85" s="8">
        <v>84112</v>
      </c>
      <c r="H85" s="8">
        <v>86380</v>
      </c>
      <c r="I85" s="8">
        <v>94862</v>
      </c>
      <c r="J85">
        <v>103876</v>
      </c>
      <c r="K85">
        <v>122521</v>
      </c>
      <c r="L85">
        <v>136677</v>
      </c>
      <c r="M85">
        <v>152092</v>
      </c>
      <c r="N85">
        <v>168818</v>
      </c>
      <c r="O85">
        <v>185819</v>
      </c>
      <c r="P85">
        <v>202424</v>
      </c>
      <c r="Q85">
        <v>218563</v>
      </c>
      <c r="R85">
        <v>232934</v>
      </c>
      <c r="S85">
        <v>245641</v>
      </c>
    </row>
    <row r="86" spans="1:19" x14ac:dyDescent="0.35">
      <c r="B86" s="22"/>
      <c r="E86" s="8"/>
      <c r="F86" s="8" t="s">
        <v>2</v>
      </c>
      <c r="G86" s="8">
        <v>44855</v>
      </c>
      <c r="H86" s="8">
        <v>42751</v>
      </c>
      <c r="I86" s="8">
        <v>47284</v>
      </c>
      <c r="J86">
        <v>52079</v>
      </c>
      <c r="K86">
        <v>66266</v>
      </c>
      <c r="L86">
        <v>76922</v>
      </c>
      <c r="M86">
        <v>85088</v>
      </c>
      <c r="N86">
        <v>91824</v>
      </c>
      <c r="O86">
        <v>97195</v>
      </c>
      <c r="P86">
        <v>102150</v>
      </c>
      <c r="Q86">
        <v>107193</v>
      </c>
      <c r="R86">
        <v>112746</v>
      </c>
      <c r="S86">
        <v>118606</v>
      </c>
    </row>
    <row r="87" spans="1:19" x14ac:dyDescent="0.35">
      <c r="B87" s="22"/>
      <c r="E87" s="8"/>
      <c r="F87" s="8" t="s">
        <v>27</v>
      </c>
      <c r="G87" s="8">
        <v>107092</v>
      </c>
      <c r="H87" s="8">
        <v>112274</v>
      </c>
      <c r="I87" s="8">
        <v>124403</v>
      </c>
      <c r="J87">
        <v>139888</v>
      </c>
      <c r="K87">
        <v>169945</v>
      </c>
      <c r="L87">
        <v>192659</v>
      </c>
      <c r="M87">
        <v>217433</v>
      </c>
      <c r="N87">
        <v>244420</v>
      </c>
      <c r="O87">
        <v>272828</v>
      </c>
      <c r="P87">
        <v>297200</v>
      </c>
      <c r="Q87">
        <v>317724</v>
      </c>
      <c r="R87">
        <v>334342</v>
      </c>
      <c r="S87">
        <v>347163</v>
      </c>
    </row>
    <row r="88" spans="1:19" x14ac:dyDescent="0.35">
      <c r="B88" s="22"/>
      <c r="E88" s="30"/>
      <c r="F88" s="30" t="s">
        <v>3</v>
      </c>
      <c r="G88" s="30">
        <v>151237</v>
      </c>
      <c r="H88" s="30">
        <v>174970</v>
      </c>
      <c r="I88" s="30">
        <v>211649</v>
      </c>
      <c r="J88" s="30">
        <v>262223</v>
      </c>
      <c r="K88" s="30">
        <v>329281</v>
      </c>
      <c r="L88" s="30">
        <v>371406</v>
      </c>
      <c r="M88" s="30">
        <v>404332</v>
      </c>
      <c r="N88" s="30">
        <v>432778</v>
      </c>
      <c r="O88" s="30">
        <v>459186</v>
      </c>
      <c r="P88" s="30">
        <v>480436</v>
      </c>
      <c r="Q88" s="30">
        <v>498363</v>
      </c>
      <c r="R88" s="30">
        <v>514169</v>
      </c>
      <c r="S88" s="30">
        <v>526471</v>
      </c>
    </row>
    <row r="89" spans="1:19" x14ac:dyDescent="0.35">
      <c r="B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35">
      <c r="B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35">
      <c r="A91" s="1">
        <f>A67+1</f>
        <v>2025</v>
      </c>
      <c r="B91" t="str">
        <f>CONCATENATE("(F = ",$B$5," in ",A91," onward)")</f>
        <v>(F = Frebuild in 2025 onward)</v>
      </c>
      <c r="F91" s="31"/>
      <c r="G91" s="27"/>
      <c r="H91" s="27"/>
    </row>
    <row r="92" spans="1:19" x14ac:dyDescent="0.35">
      <c r="B92" s="22"/>
      <c r="E92" s="30"/>
      <c r="F92" s="30"/>
      <c r="G92" s="30">
        <v>2020</v>
      </c>
      <c r="H92" s="30">
        <v>2021</v>
      </c>
      <c r="I92" s="30">
        <v>2022</v>
      </c>
      <c r="J92" s="30">
        <v>2023</v>
      </c>
      <c r="K92" s="30">
        <v>2024</v>
      </c>
      <c r="L92" s="30">
        <v>2025</v>
      </c>
      <c r="M92" s="30">
        <v>2026</v>
      </c>
      <c r="N92" s="30">
        <v>2027</v>
      </c>
      <c r="O92" s="30">
        <v>2028</v>
      </c>
      <c r="P92" s="30">
        <v>2029</v>
      </c>
      <c r="Q92" s="30">
        <v>2030</v>
      </c>
      <c r="R92" s="30">
        <v>2031</v>
      </c>
      <c r="S92" s="30">
        <v>2032</v>
      </c>
    </row>
    <row r="93" spans="1:19" x14ac:dyDescent="0.35">
      <c r="B93" t="s">
        <v>10</v>
      </c>
      <c r="C93" s="3">
        <f>HLOOKUP(($A91-1),G92:S93,2,FALSE)</f>
        <v>98752</v>
      </c>
      <c r="E93" s="8" t="s">
        <v>1</v>
      </c>
      <c r="F93" s="8" t="s">
        <v>0</v>
      </c>
      <c r="G93" s="8">
        <v>60294</v>
      </c>
      <c r="H93" s="5">
        <v>63619</v>
      </c>
      <c r="I93" s="5">
        <v>70768</v>
      </c>
      <c r="J93">
        <v>82832</v>
      </c>
      <c r="K93" s="9">
        <v>98752</v>
      </c>
      <c r="L93">
        <v>113309</v>
      </c>
      <c r="M93">
        <v>124676</v>
      </c>
      <c r="N93">
        <v>137557</v>
      </c>
      <c r="O93">
        <v>150741</v>
      </c>
      <c r="P93">
        <v>163916</v>
      </c>
      <c r="Q93">
        <v>176506</v>
      </c>
      <c r="R93">
        <v>187948</v>
      </c>
      <c r="S93">
        <v>197859</v>
      </c>
    </row>
    <row r="94" spans="1:19" x14ac:dyDescent="0.35">
      <c r="B94" t="s">
        <v>14</v>
      </c>
      <c r="C94" s="3">
        <f>HLOOKUP($A91,G92:S101,10,FALSE)</f>
        <v>13464</v>
      </c>
      <c r="E94" s="8"/>
      <c r="F94" s="8" t="s">
        <v>2</v>
      </c>
      <c r="G94" s="8">
        <v>25841</v>
      </c>
      <c r="H94" s="5">
        <v>24764</v>
      </c>
      <c r="I94" s="5">
        <v>29101</v>
      </c>
      <c r="J94">
        <v>37294</v>
      </c>
      <c r="K94">
        <v>49875</v>
      </c>
      <c r="L94">
        <v>60462</v>
      </c>
      <c r="M94">
        <v>67802</v>
      </c>
      <c r="N94">
        <v>73317</v>
      </c>
      <c r="O94">
        <v>77709</v>
      </c>
      <c r="P94">
        <v>81556</v>
      </c>
      <c r="Q94">
        <v>85474</v>
      </c>
      <c r="R94">
        <v>89818</v>
      </c>
      <c r="S94">
        <v>94623</v>
      </c>
    </row>
    <row r="95" spans="1:19" x14ac:dyDescent="0.35">
      <c r="B95" t="s">
        <v>15</v>
      </c>
      <c r="C95" s="22">
        <f>C93/$C$6</f>
        <v>0.54532000662653934</v>
      </c>
      <c r="E95" s="8"/>
      <c r="F95" s="8" t="s">
        <v>27</v>
      </c>
      <c r="G95" s="8">
        <v>80434</v>
      </c>
      <c r="H95" s="5">
        <v>86837</v>
      </c>
      <c r="I95" s="5">
        <v>95989</v>
      </c>
      <c r="J95">
        <v>112755</v>
      </c>
      <c r="K95">
        <v>136285</v>
      </c>
      <c r="L95">
        <v>158262</v>
      </c>
      <c r="M95">
        <v>175452</v>
      </c>
      <c r="N95">
        <v>195912</v>
      </c>
      <c r="O95">
        <v>218184</v>
      </c>
      <c r="P95">
        <v>239806</v>
      </c>
      <c r="Q95">
        <v>257121</v>
      </c>
      <c r="R95">
        <v>271439</v>
      </c>
      <c r="S95">
        <v>281758</v>
      </c>
    </row>
    <row r="96" spans="1:19" x14ac:dyDescent="0.35">
      <c r="B96" s="22" t="s">
        <v>12</v>
      </c>
      <c r="C96" s="23">
        <f>$C$19</f>
        <v>1.5</v>
      </c>
      <c r="E96" s="8"/>
      <c r="F96" s="8" t="s">
        <v>3</v>
      </c>
      <c r="G96" s="8">
        <v>119119</v>
      </c>
      <c r="H96" s="5">
        <v>136007</v>
      </c>
      <c r="I96" s="5">
        <v>161248</v>
      </c>
      <c r="J96">
        <v>200081</v>
      </c>
      <c r="K96">
        <v>256930</v>
      </c>
      <c r="L96">
        <v>316213</v>
      </c>
      <c r="M96">
        <v>345631</v>
      </c>
      <c r="N96">
        <v>366949</v>
      </c>
      <c r="O96">
        <v>386740</v>
      </c>
      <c r="P96">
        <v>403223</v>
      </c>
      <c r="Q96">
        <v>418265</v>
      </c>
      <c r="R96">
        <v>429492</v>
      </c>
      <c r="S96">
        <v>439372</v>
      </c>
    </row>
    <row r="97" spans="1:19" x14ac:dyDescent="0.35">
      <c r="B97" t="s">
        <v>16</v>
      </c>
      <c r="C97">
        <f>SQRT(LN(C96^2+1))</f>
        <v>1.085658784490618</v>
      </c>
      <c r="E97" s="29" t="s">
        <v>9</v>
      </c>
      <c r="F97" s="29" t="s">
        <v>0</v>
      </c>
      <c r="G97" s="29">
        <v>0.38</v>
      </c>
      <c r="H97" s="32">
        <v>0.23</v>
      </c>
      <c r="I97" s="32">
        <v>0.21</v>
      </c>
      <c r="J97" s="29">
        <v>0.04</v>
      </c>
      <c r="K97" s="29">
        <v>0.05</v>
      </c>
      <c r="L97" s="29">
        <v>0.14000000000000001</v>
      </c>
      <c r="M97" s="29">
        <v>0.14000000000000001</v>
      </c>
      <c r="N97" s="29">
        <v>0.14000000000000001</v>
      </c>
      <c r="O97" s="29">
        <v>0.14000000000000001</v>
      </c>
      <c r="P97" s="29">
        <v>0.14000000000000001</v>
      </c>
      <c r="Q97" s="29">
        <v>0.14000000000000001</v>
      </c>
      <c r="R97" s="29">
        <v>0.14000000000000001</v>
      </c>
      <c r="S97" s="29">
        <v>0.14000000000000001</v>
      </c>
    </row>
    <row r="98" spans="1:19" x14ac:dyDescent="0.35">
      <c r="A98" s="1"/>
      <c r="B98" t="s">
        <v>17</v>
      </c>
      <c r="C98" s="6">
        <f>IF(C95&gt;=1.5,0.49,IF(C95&lt;0.1,0,IF(C95&lt;1,-0.05+0.5*C95,0.08*(C95)+0.37)))</f>
        <v>0.22266000331326968</v>
      </c>
      <c r="E98" s="8"/>
      <c r="F98" s="8" t="s">
        <v>2</v>
      </c>
      <c r="G98" s="8">
        <v>0.19</v>
      </c>
      <c r="H98" s="5">
        <v>0.11</v>
      </c>
      <c r="I98" s="5">
        <v>0.09</v>
      </c>
      <c r="J98" s="8">
        <v>0.02</v>
      </c>
      <c r="K98" s="8">
        <v>0.02</v>
      </c>
      <c r="L98" s="8">
        <v>0.14000000000000001</v>
      </c>
      <c r="M98" s="8">
        <v>0.14000000000000001</v>
      </c>
      <c r="N98" s="8">
        <v>0.14000000000000001</v>
      </c>
      <c r="O98" s="8">
        <v>0.14000000000000001</v>
      </c>
      <c r="P98" s="8">
        <v>0.14000000000000001</v>
      </c>
      <c r="Q98" s="8">
        <v>0.14000000000000001</v>
      </c>
      <c r="R98" s="8">
        <v>0.14000000000000001</v>
      </c>
      <c r="S98" s="8">
        <v>0.14000000000000001</v>
      </c>
    </row>
    <row r="99" spans="1:19" x14ac:dyDescent="0.35">
      <c r="B99" s="1" t="s">
        <v>7</v>
      </c>
      <c r="C99" s="24">
        <f>_xlfn.LOGNORM.INV(C98,LN(C94),C97)</f>
        <v>5879.0827385539751</v>
      </c>
      <c r="E99" s="8"/>
      <c r="F99" s="8" t="s">
        <v>27</v>
      </c>
      <c r="G99" s="8">
        <v>0.51</v>
      </c>
      <c r="H99" s="5">
        <v>0.33</v>
      </c>
      <c r="I99" s="5">
        <v>0.28999999999999998</v>
      </c>
      <c r="J99" s="5">
        <v>0.06</v>
      </c>
      <c r="K99" s="8">
        <v>7.0000000000000007E-2</v>
      </c>
      <c r="L99" s="8">
        <v>0.14000000000000001</v>
      </c>
      <c r="M99" s="8">
        <v>0.14000000000000001</v>
      </c>
      <c r="N99" s="8">
        <v>0.14000000000000001</v>
      </c>
      <c r="O99" s="8">
        <v>0.14000000000000001</v>
      </c>
      <c r="P99" s="8">
        <v>0.14000000000000001</v>
      </c>
      <c r="Q99" s="8">
        <v>0.14000000000000001</v>
      </c>
      <c r="R99" s="8">
        <v>0.14000000000000001</v>
      </c>
      <c r="S99" s="8">
        <v>0.14000000000000001</v>
      </c>
    </row>
    <row r="100" spans="1:19" x14ac:dyDescent="0.35">
      <c r="B100" s="1" t="s">
        <v>18</v>
      </c>
      <c r="C100">
        <f>C99/C94</f>
        <v>0.43665201563829287</v>
      </c>
      <c r="E100" s="30"/>
      <c r="F100" s="30" t="s">
        <v>3</v>
      </c>
      <c r="G100" s="30">
        <v>0.89</v>
      </c>
      <c r="H100" s="37">
        <v>0.63</v>
      </c>
      <c r="I100" s="37">
        <v>0.54</v>
      </c>
      <c r="J100" s="30">
        <v>0.1</v>
      </c>
      <c r="K100" s="30">
        <v>0.1</v>
      </c>
      <c r="L100" s="30">
        <v>0.14000000000000001</v>
      </c>
      <c r="M100" s="30">
        <v>0.14000000000000001</v>
      </c>
      <c r="N100" s="30">
        <v>0.14000000000000001</v>
      </c>
      <c r="O100" s="30">
        <v>0.14000000000000001</v>
      </c>
      <c r="P100" s="30">
        <v>0.14000000000000001</v>
      </c>
      <c r="Q100" s="30">
        <v>0.14000000000000001</v>
      </c>
      <c r="R100" s="30">
        <v>0.14000000000000001</v>
      </c>
      <c r="S100" s="30">
        <v>0.14000000000000001</v>
      </c>
    </row>
    <row r="101" spans="1:19" x14ac:dyDescent="0.35">
      <c r="B101" s="22"/>
      <c r="E101" s="8" t="s">
        <v>6</v>
      </c>
      <c r="F101" s="8" t="s">
        <v>0</v>
      </c>
      <c r="G101" s="8">
        <v>18014</v>
      </c>
      <c r="H101" s="5">
        <v>12220</v>
      </c>
      <c r="I101" s="5">
        <v>12055</v>
      </c>
      <c r="J101">
        <v>2976</v>
      </c>
      <c r="K101">
        <v>4168</v>
      </c>
      <c r="L101" s="9">
        <v>13464</v>
      </c>
      <c r="M101">
        <v>14861</v>
      </c>
      <c r="N101">
        <v>16403</v>
      </c>
      <c r="O101">
        <v>18013</v>
      </c>
      <c r="P101">
        <v>19588</v>
      </c>
      <c r="Q101">
        <v>21144</v>
      </c>
      <c r="R101">
        <v>22600</v>
      </c>
      <c r="S101">
        <v>23857</v>
      </c>
    </row>
    <row r="102" spans="1:19" x14ac:dyDescent="0.35">
      <c r="B102" s="39" t="s">
        <v>28</v>
      </c>
      <c r="C102" s="40">
        <f>ROUND(C99,0)</f>
        <v>5879</v>
      </c>
      <c r="E102" s="8"/>
      <c r="F102" s="8" t="s">
        <v>2</v>
      </c>
      <c r="G102" s="8">
        <v>18014</v>
      </c>
      <c r="H102" s="5">
        <v>12220</v>
      </c>
      <c r="I102" s="5">
        <v>12055</v>
      </c>
      <c r="J102">
        <v>2976</v>
      </c>
      <c r="K102">
        <v>4168</v>
      </c>
      <c r="L102">
        <v>7008</v>
      </c>
      <c r="M102">
        <v>7980</v>
      </c>
      <c r="N102">
        <v>8757</v>
      </c>
      <c r="O102">
        <v>9368</v>
      </c>
      <c r="P102">
        <v>9885</v>
      </c>
      <c r="Q102">
        <v>10401</v>
      </c>
      <c r="R102">
        <v>10944</v>
      </c>
      <c r="S102">
        <v>11540</v>
      </c>
    </row>
    <row r="103" spans="1:19" x14ac:dyDescent="0.35">
      <c r="B103" s="5"/>
      <c r="E103" s="8"/>
      <c r="F103" s="8" t="s">
        <v>27</v>
      </c>
      <c r="G103" s="8">
        <v>18014</v>
      </c>
      <c r="H103" s="5">
        <v>12220</v>
      </c>
      <c r="I103" s="5">
        <v>12055</v>
      </c>
      <c r="J103">
        <v>2976</v>
      </c>
      <c r="K103">
        <v>4168</v>
      </c>
      <c r="L103">
        <v>18769</v>
      </c>
      <c r="M103">
        <v>20837</v>
      </c>
      <c r="N103">
        <v>23223</v>
      </c>
      <c r="O103">
        <v>25811</v>
      </c>
      <c r="P103">
        <v>28399</v>
      </c>
      <c r="Q103">
        <v>30636</v>
      </c>
      <c r="R103">
        <v>32427</v>
      </c>
      <c r="S103">
        <v>33851</v>
      </c>
    </row>
    <row r="104" spans="1:19" x14ac:dyDescent="0.35">
      <c r="B104" s="5"/>
      <c r="E104" s="8"/>
      <c r="F104" s="8" t="s">
        <v>3</v>
      </c>
      <c r="G104" s="8">
        <v>18014</v>
      </c>
      <c r="H104" s="8">
        <v>12220</v>
      </c>
      <c r="I104" s="8">
        <v>12055</v>
      </c>
      <c r="J104">
        <v>2976</v>
      </c>
      <c r="K104">
        <v>4168</v>
      </c>
      <c r="L104">
        <v>36049</v>
      </c>
      <c r="M104">
        <v>40242</v>
      </c>
      <c r="N104">
        <v>43085</v>
      </c>
      <c r="O104">
        <v>45565</v>
      </c>
      <c r="P104">
        <v>47660</v>
      </c>
      <c r="Q104">
        <v>49473</v>
      </c>
      <c r="R104">
        <v>51023</v>
      </c>
      <c r="S104">
        <v>52298</v>
      </c>
    </row>
    <row r="105" spans="1:19" x14ac:dyDescent="0.35">
      <c r="B105" s="5"/>
      <c r="E105" s="29" t="s">
        <v>4</v>
      </c>
      <c r="F105" s="29" t="s">
        <v>0</v>
      </c>
      <c r="G105" s="29">
        <v>131006</v>
      </c>
      <c r="H105" s="29">
        <v>131990</v>
      </c>
      <c r="I105" s="29">
        <v>133111</v>
      </c>
      <c r="J105" s="29">
        <v>135596</v>
      </c>
      <c r="K105" s="29">
        <v>140878</v>
      </c>
      <c r="L105" s="29">
        <v>145871</v>
      </c>
      <c r="M105" s="29">
        <v>146795</v>
      </c>
      <c r="N105" s="29">
        <v>150378</v>
      </c>
      <c r="O105" s="29">
        <v>154548</v>
      </c>
      <c r="P105" s="29">
        <v>155430</v>
      </c>
      <c r="Q105" s="29">
        <v>155541</v>
      </c>
      <c r="R105" s="29">
        <v>158351</v>
      </c>
      <c r="S105" s="29">
        <v>160242</v>
      </c>
    </row>
    <row r="106" spans="1:19" x14ac:dyDescent="0.35">
      <c r="B106" s="5"/>
      <c r="E106" s="8"/>
      <c r="F106" s="8" t="s">
        <v>2</v>
      </c>
      <c r="G106" s="8">
        <v>26674</v>
      </c>
      <c r="H106" s="8">
        <v>26748</v>
      </c>
      <c r="I106" s="8">
        <v>26796</v>
      </c>
      <c r="J106" s="8">
        <v>26989</v>
      </c>
      <c r="K106" s="8">
        <v>27358</v>
      </c>
      <c r="L106" s="8">
        <v>28710</v>
      </c>
      <c r="M106" s="8">
        <v>29940</v>
      </c>
      <c r="N106" s="8">
        <v>31046</v>
      </c>
      <c r="O106" s="8">
        <v>32215</v>
      </c>
      <c r="P106" s="8">
        <v>33009</v>
      </c>
      <c r="Q106" s="8">
        <v>33731</v>
      </c>
      <c r="R106" s="8">
        <v>34096</v>
      </c>
      <c r="S106" s="8">
        <v>34524</v>
      </c>
    </row>
    <row r="107" spans="1:19" x14ac:dyDescent="0.35">
      <c r="B107" s="22"/>
      <c r="E107" s="8"/>
      <c r="F107" s="8" t="s">
        <v>27</v>
      </c>
      <c r="G107" s="8">
        <v>151002</v>
      </c>
      <c r="H107" s="8">
        <v>155867</v>
      </c>
      <c r="I107" s="8">
        <v>163702</v>
      </c>
      <c r="J107" s="8">
        <v>173979</v>
      </c>
      <c r="K107" s="8">
        <v>191139</v>
      </c>
      <c r="L107" s="8">
        <v>201092</v>
      </c>
      <c r="M107" s="8">
        <v>207052</v>
      </c>
      <c r="N107" s="8">
        <v>215312</v>
      </c>
      <c r="O107" s="8">
        <v>220176</v>
      </c>
      <c r="P107" s="8">
        <v>224814</v>
      </c>
      <c r="Q107" s="8">
        <v>225951</v>
      </c>
      <c r="R107" s="8">
        <v>227037</v>
      </c>
      <c r="S107" s="8">
        <v>227828</v>
      </c>
    </row>
    <row r="108" spans="1:19" x14ac:dyDescent="0.35">
      <c r="B108" s="22"/>
      <c r="E108" s="30"/>
      <c r="F108" s="30" t="s">
        <v>3</v>
      </c>
      <c r="G108" s="30">
        <v>350002</v>
      </c>
      <c r="H108" s="30">
        <v>367731</v>
      </c>
      <c r="I108" s="30">
        <v>376041</v>
      </c>
      <c r="J108" s="30">
        <v>476154</v>
      </c>
      <c r="K108" s="30">
        <v>573001</v>
      </c>
      <c r="L108" s="30">
        <v>739001</v>
      </c>
      <c r="M108" s="30">
        <v>836572</v>
      </c>
      <c r="N108" s="30">
        <v>934663</v>
      </c>
      <c r="O108" s="30">
        <v>969875</v>
      </c>
      <c r="P108" s="30">
        <v>1037285</v>
      </c>
      <c r="Q108" s="30">
        <v>1048560</v>
      </c>
      <c r="R108" s="30">
        <v>1078866</v>
      </c>
      <c r="S108" s="30">
        <v>1079887</v>
      </c>
    </row>
    <row r="109" spans="1:19" x14ac:dyDescent="0.35">
      <c r="B109" s="22"/>
      <c r="E109" s="8" t="s">
        <v>5</v>
      </c>
      <c r="F109" s="8" t="s">
        <v>0</v>
      </c>
      <c r="G109" s="8">
        <v>84112</v>
      </c>
      <c r="H109" s="8">
        <v>86380</v>
      </c>
      <c r="I109" s="8">
        <v>94862</v>
      </c>
      <c r="J109">
        <v>103876</v>
      </c>
      <c r="K109">
        <v>122521</v>
      </c>
      <c r="L109">
        <v>144966</v>
      </c>
      <c r="M109">
        <v>160877</v>
      </c>
      <c r="N109">
        <v>177519</v>
      </c>
      <c r="O109">
        <v>194156</v>
      </c>
      <c r="P109">
        <v>210145</v>
      </c>
      <c r="Q109">
        <v>225670</v>
      </c>
      <c r="R109">
        <v>239441</v>
      </c>
      <c r="S109">
        <v>251206</v>
      </c>
    </row>
    <row r="110" spans="1:19" x14ac:dyDescent="0.35">
      <c r="B110" s="22"/>
      <c r="E110" s="8"/>
      <c r="F110" s="8" t="s">
        <v>2</v>
      </c>
      <c r="G110" s="8">
        <v>44855</v>
      </c>
      <c r="H110" s="8">
        <v>42751</v>
      </c>
      <c r="I110" s="8">
        <v>47284</v>
      </c>
      <c r="J110">
        <v>52079</v>
      </c>
      <c r="K110">
        <v>66266</v>
      </c>
      <c r="L110">
        <v>78967</v>
      </c>
      <c r="M110">
        <v>87279</v>
      </c>
      <c r="N110">
        <v>93924</v>
      </c>
      <c r="O110">
        <v>99382</v>
      </c>
      <c r="P110">
        <v>104519</v>
      </c>
      <c r="Q110">
        <v>109800</v>
      </c>
      <c r="R110">
        <v>115856</v>
      </c>
      <c r="S110">
        <v>122149</v>
      </c>
    </row>
    <row r="111" spans="1:19" x14ac:dyDescent="0.35">
      <c r="B111" s="22"/>
      <c r="E111" s="8"/>
      <c r="F111" s="8" t="s">
        <v>27</v>
      </c>
      <c r="G111" s="8">
        <v>107092</v>
      </c>
      <c r="H111" s="8">
        <v>112274</v>
      </c>
      <c r="I111" s="8">
        <v>124403</v>
      </c>
      <c r="J111">
        <v>139888</v>
      </c>
      <c r="K111">
        <v>169945</v>
      </c>
      <c r="L111">
        <v>205888</v>
      </c>
      <c r="M111">
        <v>230412</v>
      </c>
      <c r="N111">
        <v>256794</v>
      </c>
      <c r="O111">
        <v>284412</v>
      </c>
      <c r="P111">
        <v>307174</v>
      </c>
      <c r="Q111">
        <v>326197</v>
      </c>
      <c r="R111">
        <v>340973</v>
      </c>
      <c r="S111">
        <v>352555</v>
      </c>
    </row>
    <row r="112" spans="1:19" x14ac:dyDescent="0.35">
      <c r="B112" s="22"/>
      <c r="E112" s="30"/>
      <c r="F112" s="30" t="s">
        <v>3</v>
      </c>
      <c r="G112" s="30">
        <v>151237</v>
      </c>
      <c r="H112" s="30">
        <v>174970</v>
      </c>
      <c r="I112" s="30">
        <v>211649</v>
      </c>
      <c r="J112" s="30">
        <v>262223</v>
      </c>
      <c r="K112" s="30">
        <v>329281</v>
      </c>
      <c r="L112" s="30">
        <v>394675</v>
      </c>
      <c r="M112" s="30">
        <v>424443</v>
      </c>
      <c r="N112" s="30">
        <v>448559</v>
      </c>
      <c r="O112" s="30">
        <v>471361</v>
      </c>
      <c r="P112" s="30">
        <v>489721</v>
      </c>
      <c r="Q112" s="30">
        <v>506375</v>
      </c>
      <c r="R112" s="30">
        <v>520715</v>
      </c>
      <c r="S112" s="30">
        <v>531408</v>
      </c>
    </row>
    <row r="113" spans="1:19" x14ac:dyDescent="0.35">
      <c r="B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35">
      <c r="B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35">
      <c r="A115" s="1">
        <f>A91+1</f>
        <v>2026</v>
      </c>
      <c r="B115" t="str">
        <f>CONCATENATE("(F = ",$B$5," in ",A115," onward)")</f>
        <v>(F = Frebuild in 2026 onward)</v>
      </c>
      <c r="F115" s="31"/>
      <c r="G115" s="27"/>
      <c r="H115" s="27"/>
    </row>
    <row r="116" spans="1:19" x14ac:dyDescent="0.35">
      <c r="B116" s="22"/>
      <c r="E116" s="30"/>
      <c r="F116" s="30"/>
      <c r="G116" s="30">
        <v>2020</v>
      </c>
      <c r="H116" s="30">
        <v>2021</v>
      </c>
      <c r="I116" s="30">
        <v>2022</v>
      </c>
      <c r="J116" s="30">
        <v>2023</v>
      </c>
      <c r="K116" s="30">
        <v>2024</v>
      </c>
      <c r="L116" s="30">
        <v>2025</v>
      </c>
      <c r="M116" s="30">
        <v>2026</v>
      </c>
      <c r="N116" s="30">
        <v>2027</v>
      </c>
      <c r="O116" s="30">
        <v>2028</v>
      </c>
      <c r="P116" s="30">
        <v>2029</v>
      </c>
      <c r="Q116" s="30">
        <v>2030</v>
      </c>
      <c r="R116" s="30">
        <v>2031</v>
      </c>
      <c r="S116" s="30">
        <v>2032</v>
      </c>
    </row>
    <row r="117" spans="1:19" x14ac:dyDescent="0.35">
      <c r="B117" t="s">
        <v>10</v>
      </c>
      <c r="C117" s="3">
        <f>HLOOKUP(($A115-1),G116:S117,2,FALSE)</f>
        <v>116414</v>
      </c>
      <c r="E117" s="8" t="s">
        <v>1</v>
      </c>
      <c r="F117" s="8" t="s">
        <v>0</v>
      </c>
      <c r="G117" s="8">
        <v>60294</v>
      </c>
      <c r="H117" s="5">
        <v>63619</v>
      </c>
      <c r="I117" s="5">
        <v>70768</v>
      </c>
      <c r="J117">
        <v>82832</v>
      </c>
      <c r="K117" s="22">
        <v>98752</v>
      </c>
      <c r="L117" s="9">
        <v>116414</v>
      </c>
      <c r="M117">
        <v>131732</v>
      </c>
      <c r="N117">
        <v>144207</v>
      </c>
      <c r="O117">
        <v>157064</v>
      </c>
      <c r="P117">
        <v>169754</v>
      </c>
      <c r="Q117">
        <v>181749</v>
      </c>
      <c r="R117">
        <v>192642</v>
      </c>
      <c r="S117">
        <v>201827</v>
      </c>
    </row>
    <row r="118" spans="1:19" x14ac:dyDescent="0.35">
      <c r="B118" t="s">
        <v>14</v>
      </c>
      <c r="C118" s="3">
        <f>HLOOKUP($A115,G116:S125,10,FALSE)</f>
        <v>15734</v>
      </c>
      <c r="E118" s="8"/>
      <c r="F118" s="8" t="s">
        <v>2</v>
      </c>
      <c r="G118" s="8">
        <v>25841</v>
      </c>
      <c r="H118" s="5">
        <v>24764</v>
      </c>
      <c r="I118" s="5">
        <v>29101</v>
      </c>
      <c r="J118">
        <v>37294</v>
      </c>
      <c r="K118">
        <v>49875</v>
      </c>
      <c r="L118">
        <v>60969</v>
      </c>
      <c r="M118">
        <v>69167</v>
      </c>
      <c r="N118">
        <v>74754</v>
      </c>
      <c r="O118">
        <v>79190</v>
      </c>
      <c r="P118">
        <v>83207</v>
      </c>
      <c r="Q118">
        <v>87402</v>
      </c>
      <c r="R118">
        <v>91905</v>
      </c>
      <c r="S118">
        <v>97161</v>
      </c>
    </row>
    <row r="119" spans="1:19" x14ac:dyDescent="0.35">
      <c r="B119" t="s">
        <v>15</v>
      </c>
      <c r="C119" s="22">
        <f>C117/$C$6</f>
        <v>0.64285162074106794</v>
      </c>
      <c r="E119" s="8"/>
      <c r="F119" s="8" t="s">
        <v>27</v>
      </c>
      <c r="G119" s="8">
        <v>80434</v>
      </c>
      <c r="H119" s="5">
        <v>86837</v>
      </c>
      <c r="I119" s="5">
        <v>95989</v>
      </c>
      <c r="J119">
        <v>112755</v>
      </c>
      <c r="K119">
        <v>136285</v>
      </c>
      <c r="L119">
        <v>163477</v>
      </c>
      <c r="M119">
        <v>187227</v>
      </c>
      <c r="N119">
        <v>206614</v>
      </c>
      <c r="O119">
        <v>227783</v>
      </c>
      <c r="P119">
        <v>248510</v>
      </c>
      <c r="Q119">
        <v>264627</v>
      </c>
      <c r="R119">
        <v>277389</v>
      </c>
      <c r="S119">
        <v>286316</v>
      </c>
    </row>
    <row r="120" spans="1:19" x14ac:dyDescent="0.35">
      <c r="B120" s="22" t="s">
        <v>12</v>
      </c>
      <c r="C120" s="23">
        <f>$C$19</f>
        <v>1.5</v>
      </c>
      <c r="E120" s="8"/>
      <c r="F120" s="8" t="s">
        <v>3</v>
      </c>
      <c r="G120" s="8">
        <v>119119</v>
      </c>
      <c r="H120" s="5">
        <v>136007</v>
      </c>
      <c r="I120" s="5">
        <v>161248</v>
      </c>
      <c r="J120">
        <v>200081</v>
      </c>
      <c r="K120">
        <v>256930</v>
      </c>
      <c r="L120">
        <v>328366</v>
      </c>
      <c r="M120">
        <v>372688</v>
      </c>
      <c r="N120">
        <v>387625</v>
      </c>
      <c r="O120">
        <v>401841</v>
      </c>
      <c r="P120">
        <v>413802</v>
      </c>
      <c r="Q120">
        <v>425552</v>
      </c>
      <c r="R120">
        <v>434969</v>
      </c>
      <c r="S120">
        <v>443688</v>
      </c>
    </row>
    <row r="121" spans="1:19" x14ac:dyDescent="0.35">
      <c r="B121" t="s">
        <v>16</v>
      </c>
      <c r="C121">
        <f>SQRT(LN(C120^2+1))</f>
        <v>1.085658784490618</v>
      </c>
      <c r="E121" s="29" t="s">
        <v>9</v>
      </c>
      <c r="F121" s="29" t="s">
        <v>0</v>
      </c>
      <c r="G121" s="29">
        <v>0.38</v>
      </c>
      <c r="H121" s="32">
        <v>0.23</v>
      </c>
      <c r="I121" s="32">
        <v>0.21</v>
      </c>
      <c r="J121" s="29">
        <v>0.04</v>
      </c>
      <c r="K121" s="29">
        <v>0.05</v>
      </c>
      <c r="L121" s="29">
        <v>0.06</v>
      </c>
      <c r="M121" s="29">
        <v>0.14000000000000001</v>
      </c>
      <c r="N121" s="29">
        <v>0.14000000000000001</v>
      </c>
      <c r="O121" s="29">
        <v>0.14000000000000001</v>
      </c>
      <c r="P121" s="29">
        <v>0.14000000000000001</v>
      </c>
      <c r="Q121" s="29">
        <v>0.14000000000000001</v>
      </c>
      <c r="R121" s="29">
        <v>0.14000000000000001</v>
      </c>
      <c r="S121" s="29">
        <v>0.14000000000000001</v>
      </c>
    </row>
    <row r="122" spans="1:19" x14ac:dyDescent="0.35">
      <c r="A122" s="1"/>
      <c r="B122" t="s">
        <v>17</v>
      </c>
      <c r="C122" s="6">
        <f>IF(C119&gt;=1.5,0.49,IF(C119&lt;0.1,0,IF(C119&lt;1,-0.05+0.5*C119,0.08*(C119)+0.37)))</f>
        <v>0.27142581037053398</v>
      </c>
      <c r="E122" s="8"/>
      <c r="F122" s="8" t="s">
        <v>2</v>
      </c>
      <c r="G122" s="8">
        <v>0.19</v>
      </c>
      <c r="H122" s="5">
        <v>0.11</v>
      </c>
      <c r="I122" s="5">
        <v>0.09</v>
      </c>
      <c r="J122" s="8">
        <v>0.02</v>
      </c>
      <c r="K122" s="8">
        <v>0.02</v>
      </c>
      <c r="L122" s="8">
        <v>0.02</v>
      </c>
      <c r="M122" s="8">
        <v>0.14000000000000001</v>
      </c>
      <c r="N122" s="8">
        <v>0.14000000000000001</v>
      </c>
      <c r="O122" s="8">
        <v>0.14000000000000001</v>
      </c>
      <c r="P122" s="8">
        <v>0.14000000000000001</v>
      </c>
      <c r="Q122" s="8">
        <v>0.14000000000000001</v>
      </c>
      <c r="R122" s="8">
        <v>0.14000000000000001</v>
      </c>
      <c r="S122" s="8">
        <v>0.14000000000000001</v>
      </c>
    </row>
    <row r="123" spans="1:19" x14ac:dyDescent="0.35">
      <c r="B123" s="1" t="s">
        <v>7</v>
      </c>
      <c r="C123" s="24">
        <f>_xlfn.LOGNORM.INV(C122,LN(C118),C121)</f>
        <v>8127.014117430339</v>
      </c>
      <c r="E123" s="8"/>
      <c r="F123" s="8" t="s">
        <v>27</v>
      </c>
      <c r="G123" s="8">
        <v>0.51</v>
      </c>
      <c r="H123" s="5">
        <v>0.33</v>
      </c>
      <c r="I123" s="5">
        <v>0.28999999999999998</v>
      </c>
      <c r="J123" s="5">
        <v>0.06</v>
      </c>
      <c r="K123" s="8">
        <v>7.0000000000000007E-2</v>
      </c>
      <c r="L123" s="8">
        <v>0.08</v>
      </c>
      <c r="M123" s="8">
        <v>0.14000000000000001</v>
      </c>
      <c r="N123" s="8">
        <v>0.14000000000000001</v>
      </c>
      <c r="O123" s="8">
        <v>0.14000000000000001</v>
      </c>
      <c r="P123" s="8">
        <v>0.14000000000000001</v>
      </c>
      <c r="Q123" s="8">
        <v>0.14000000000000001</v>
      </c>
      <c r="R123" s="8">
        <v>0.14000000000000001</v>
      </c>
      <c r="S123" s="8">
        <v>0.14000000000000001</v>
      </c>
    </row>
    <row r="124" spans="1:19" x14ac:dyDescent="0.35">
      <c r="B124" s="1" t="s">
        <v>18</v>
      </c>
      <c r="C124">
        <f>C123/C118</f>
        <v>0.5165256207849459</v>
      </c>
      <c r="E124" s="30"/>
      <c r="F124" s="30" t="s">
        <v>3</v>
      </c>
      <c r="G124" s="30">
        <v>0.89</v>
      </c>
      <c r="H124" s="37">
        <v>0.63</v>
      </c>
      <c r="I124" s="37">
        <v>0.54</v>
      </c>
      <c r="J124" s="30">
        <v>0.1</v>
      </c>
      <c r="K124" s="30">
        <v>0.1</v>
      </c>
      <c r="L124" s="30">
        <v>0.12</v>
      </c>
      <c r="M124" s="30">
        <v>0.14000000000000001</v>
      </c>
      <c r="N124" s="30">
        <v>0.14000000000000001</v>
      </c>
      <c r="O124" s="30">
        <v>0.14000000000000001</v>
      </c>
      <c r="P124" s="30">
        <v>0.14000000000000001</v>
      </c>
      <c r="Q124" s="30">
        <v>0.14000000000000001</v>
      </c>
      <c r="R124" s="30">
        <v>0.14000000000000001</v>
      </c>
      <c r="S124" s="30">
        <v>0.14000000000000001</v>
      </c>
    </row>
    <row r="125" spans="1:19" x14ac:dyDescent="0.35">
      <c r="B125" s="22"/>
      <c r="E125" s="8" t="s">
        <v>6</v>
      </c>
      <c r="F125" s="8" t="s">
        <v>0</v>
      </c>
      <c r="G125" s="8">
        <v>18014</v>
      </c>
      <c r="H125" s="5">
        <v>12220</v>
      </c>
      <c r="I125" s="5">
        <v>12055</v>
      </c>
      <c r="J125">
        <v>2976</v>
      </c>
      <c r="K125">
        <v>4168</v>
      </c>
      <c r="L125" s="22">
        <v>5879</v>
      </c>
      <c r="M125" s="9">
        <v>15734</v>
      </c>
      <c r="N125">
        <v>17230</v>
      </c>
      <c r="O125">
        <v>18817</v>
      </c>
      <c r="P125">
        <v>20344</v>
      </c>
      <c r="Q125">
        <v>21811</v>
      </c>
      <c r="R125">
        <v>23192</v>
      </c>
      <c r="S125">
        <v>24383</v>
      </c>
    </row>
    <row r="126" spans="1:19" x14ac:dyDescent="0.35">
      <c r="B126" s="39" t="s">
        <v>28</v>
      </c>
      <c r="C126" s="40">
        <f>ROUND(C123,0)</f>
        <v>8127</v>
      </c>
      <c r="E126" s="8"/>
      <c r="F126" s="8" t="s">
        <v>2</v>
      </c>
      <c r="G126" s="8">
        <v>18014</v>
      </c>
      <c r="H126" s="5">
        <v>12220</v>
      </c>
      <c r="I126" s="5">
        <v>12055</v>
      </c>
      <c r="J126">
        <v>2976</v>
      </c>
      <c r="K126">
        <v>4168</v>
      </c>
      <c r="L126">
        <v>5879</v>
      </c>
      <c r="M126">
        <v>8127</v>
      </c>
      <c r="N126">
        <v>8919</v>
      </c>
      <c r="O126">
        <v>9534</v>
      </c>
      <c r="P126">
        <v>10070</v>
      </c>
      <c r="Q126">
        <v>10603</v>
      </c>
      <c r="R126">
        <v>11189</v>
      </c>
      <c r="S126">
        <v>11813</v>
      </c>
    </row>
    <row r="127" spans="1:19" x14ac:dyDescent="0.35">
      <c r="B127" s="5"/>
      <c r="E127" s="8"/>
      <c r="F127" s="8" t="s">
        <v>27</v>
      </c>
      <c r="G127" s="8">
        <v>18014</v>
      </c>
      <c r="H127" s="5">
        <v>12220</v>
      </c>
      <c r="I127" s="5">
        <v>12055</v>
      </c>
      <c r="J127">
        <v>2976</v>
      </c>
      <c r="K127">
        <v>4168</v>
      </c>
      <c r="L127">
        <v>5879</v>
      </c>
      <c r="M127">
        <v>22329</v>
      </c>
      <c r="N127">
        <v>24557</v>
      </c>
      <c r="O127">
        <v>27024</v>
      </c>
      <c r="P127">
        <v>29497</v>
      </c>
      <c r="Q127">
        <v>31598</v>
      </c>
      <c r="R127">
        <v>33206</v>
      </c>
      <c r="S127">
        <v>34460</v>
      </c>
    </row>
    <row r="128" spans="1:19" x14ac:dyDescent="0.35">
      <c r="B128" s="5"/>
      <c r="E128" s="8"/>
      <c r="F128" s="8" t="s">
        <v>3</v>
      </c>
      <c r="G128" s="8">
        <v>18014</v>
      </c>
      <c r="H128" s="8">
        <v>12220</v>
      </c>
      <c r="I128" s="8">
        <v>12055</v>
      </c>
      <c r="J128">
        <v>2976</v>
      </c>
      <c r="K128">
        <v>4168</v>
      </c>
      <c r="L128">
        <v>5879</v>
      </c>
      <c r="M128">
        <v>43604</v>
      </c>
      <c r="N128">
        <v>45899</v>
      </c>
      <c r="O128">
        <v>47628</v>
      </c>
      <c r="P128">
        <v>49198</v>
      </c>
      <c r="Q128">
        <v>50539</v>
      </c>
      <c r="R128">
        <v>51798</v>
      </c>
      <c r="S128">
        <v>52931</v>
      </c>
    </row>
    <row r="129" spans="1:19" x14ac:dyDescent="0.35">
      <c r="B129" s="5"/>
      <c r="E129" s="29" t="s">
        <v>4</v>
      </c>
      <c r="F129" s="29" t="s">
        <v>0</v>
      </c>
      <c r="G129" s="29">
        <v>131006</v>
      </c>
      <c r="H129" s="29">
        <v>131990</v>
      </c>
      <c r="I129" s="29">
        <v>133111</v>
      </c>
      <c r="J129" s="29">
        <v>135596</v>
      </c>
      <c r="K129" s="29">
        <v>140878</v>
      </c>
      <c r="L129" s="29">
        <v>146126</v>
      </c>
      <c r="M129" s="29">
        <v>147301</v>
      </c>
      <c r="N129" s="29">
        <v>153103</v>
      </c>
      <c r="O129" s="29">
        <v>155303</v>
      </c>
      <c r="P129" s="29">
        <v>155483</v>
      </c>
      <c r="Q129" s="29">
        <v>156959</v>
      </c>
      <c r="R129" s="29">
        <v>159472</v>
      </c>
      <c r="S129" s="29">
        <v>161069</v>
      </c>
    </row>
    <row r="130" spans="1:19" x14ac:dyDescent="0.35">
      <c r="B130" s="5"/>
      <c r="E130" s="8"/>
      <c r="F130" s="8" t="s">
        <v>2</v>
      </c>
      <c r="G130" s="8">
        <v>26674</v>
      </c>
      <c r="H130" s="8">
        <v>26748</v>
      </c>
      <c r="I130" s="8">
        <v>26796</v>
      </c>
      <c r="J130" s="8">
        <v>26989</v>
      </c>
      <c r="K130" s="8">
        <v>27358</v>
      </c>
      <c r="L130" s="8">
        <v>29105</v>
      </c>
      <c r="M130" s="8">
        <v>30629</v>
      </c>
      <c r="N130" s="8">
        <v>31596</v>
      </c>
      <c r="O130" s="8">
        <v>32596</v>
      </c>
      <c r="P130" s="8">
        <v>33283</v>
      </c>
      <c r="Q130" s="8">
        <v>33951</v>
      </c>
      <c r="R130" s="8">
        <v>34296</v>
      </c>
      <c r="S130" s="8">
        <v>34559</v>
      </c>
    </row>
    <row r="131" spans="1:19" x14ac:dyDescent="0.35">
      <c r="B131" s="22"/>
      <c r="E131" s="8"/>
      <c r="F131" s="8" t="s">
        <v>27</v>
      </c>
      <c r="G131" s="8">
        <v>151002</v>
      </c>
      <c r="H131" s="8">
        <v>155867</v>
      </c>
      <c r="I131" s="8">
        <v>163702</v>
      </c>
      <c r="J131" s="8">
        <v>173979</v>
      </c>
      <c r="K131" s="8">
        <v>191139</v>
      </c>
      <c r="L131" s="8">
        <v>203019</v>
      </c>
      <c r="M131" s="8">
        <v>211602</v>
      </c>
      <c r="N131" s="8">
        <v>218685</v>
      </c>
      <c r="O131" s="8">
        <v>222014</v>
      </c>
      <c r="P131" s="8">
        <v>225633</v>
      </c>
      <c r="Q131" s="8">
        <v>226493</v>
      </c>
      <c r="R131" s="8">
        <v>227467</v>
      </c>
      <c r="S131" s="8">
        <v>228219</v>
      </c>
    </row>
    <row r="132" spans="1:19" x14ac:dyDescent="0.35">
      <c r="B132" s="22"/>
      <c r="E132" s="30"/>
      <c r="F132" s="30" t="s">
        <v>3</v>
      </c>
      <c r="G132" s="30">
        <v>350002</v>
      </c>
      <c r="H132" s="30">
        <v>367731</v>
      </c>
      <c r="I132" s="30">
        <v>376041</v>
      </c>
      <c r="J132" s="30">
        <v>476154</v>
      </c>
      <c r="K132" s="30">
        <v>573001</v>
      </c>
      <c r="L132" s="30">
        <v>775381</v>
      </c>
      <c r="M132" s="30">
        <v>889695</v>
      </c>
      <c r="N132" s="30">
        <v>963058</v>
      </c>
      <c r="O132" s="30">
        <v>990815</v>
      </c>
      <c r="P132" s="30">
        <v>1050325</v>
      </c>
      <c r="Q132" s="30">
        <v>1058455</v>
      </c>
      <c r="R132" s="30">
        <v>1085924</v>
      </c>
      <c r="S132" s="30">
        <v>1085774</v>
      </c>
    </row>
    <row r="133" spans="1:19" x14ac:dyDescent="0.35">
      <c r="B133" s="22"/>
      <c r="E133" s="8" t="s">
        <v>5</v>
      </c>
      <c r="F133" s="8" t="s">
        <v>0</v>
      </c>
      <c r="G133" s="8">
        <v>84112</v>
      </c>
      <c r="H133" s="8">
        <v>86380</v>
      </c>
      <c r="I133" s="8">
        <v>94862</v>
      </c>
      <c r="J133">
        <v>103876</v>
      </c>
      <c r="K133">
        <v>122521</v>
      </c>
      <c r="L133">
        <v>144966</v>
      </c>
      <c r="M133">
        <v>169566</v>
      </c>
      <c r="N133">
        <v>185989</v>
      </c>
      <c r="O133">
        <v>202081</v>
      </c>
      <c r="P133">
        <v>217405</v>
      </c>
      <c r="Q133">
        <v>232122</v>
      </c>
      <c r="R133">
        <v>245201</v>
      </c>
      <c r="S133">
        <v>256001</v>
      </c>
    </row>
    <row r="134" spans="1:19" x14ac:dyDescent="0.35">
      <c r="B134" s="22"/>
      <c r="E134" s="8"/>
      <c r="F134" s="8" t="s">
        <v>2</v>
      </c>
      <c r="G134" s="8">
        <v>44855</v>
      </c>
      <c r="H134" s="8">
        <v>42751</v>
      </c>
      <c r="I134" s="8">
        <v>47284</v>
      </c>
      <c r="J134">
        <v>52079</v>
      </c>
      <c r="K134">
        <v>66266</v>
      </c>
      <c r="L134">
        <v>78967</v>
      </c>
      <c r="M134">
        <v>88958</v>
      </c>
      <c r="N134">
        <v>95735</v>
      </c>
      <c r="O134">
        <v>101282</v>
      </c>
      <c r="P134">
        <v>106594</v>
      </c>
      <c r="Q134">
        <v>112230</v>
      </c>
      <c r="R134">
        <v>118604</v>
      </c>
      <c r="S134">
        <v>125255</v>
      </c>
    </row>
    <row r="135" spans="1:19" x14ac:dyDescent="0.35">
      <c r="B135" s="22"/>
      <c r="E135" s="8"/>
      <c r="F135" s="8" t="s">
        <v>27</v>
      </c>
      <c r="G135" s="8">
        <v>107092</v>
      </c>
      <c r="H135" s="8">
        <v>112274</v>
      </c>
      <c r="I135" s="8">
        <v>124403</v>
      </c>
      <c r="J135">
        <v>139888</v>
      </c>
      <c r="K135">
        <v>169945</v>
      </c>
      <c r="L135">
        <v>205888</v>
      </c>
      <c r="M135">
        <v>244898</v>
      </c>
      <c r="N135">
        <v>269485</v>
      </c>
      <c r="O135">
        <v>295580</v>
      </c>
      <c r="P135">
        <v>317082</v>
      </c>
      <c r="Q135">
        <v>334454</v>
      </c>
      <c r="R135">
        <v>347543</v>
      </c>
      <c r="S135">
        <v>357598</v>
      </c>
    </row>
    <row r="136" spans="1:19" x14ac:dyDescent="0.35">
      <c r="B136" s="22"/>
      <c r="E136" s="30"/>
      <c r="F136" s="30" t="s">
        <v>3</v>
      </c>
      <c r="G136" s="30">
        <v>151237</v>
      </c>
      <c r="H136" s="30">
        <v>174970</v>
      </c>
      <c r="I136" s="30">
        <v>211649</v>
      </c>
      <c r="J136" s="30">
        <v>262223</v>
      </c>
      <c r="K136" s="30">
        <v>329281</v>
      </c>
      <c r="L136" s="30">
        <v>394675</v>
      </c>
      <c r="M136" s="30">
        <v>452829</v>
      </c>
      <c r="N136" s="30">
        <v>471165</v>
      </c>
      <c r="O136" s="30">
        <v>488336</v>
      </c>
      <c r="P136" s="30">
        <v>501715</v>
      </c>
      <c r="Q136" s="30">
        <v>514883</v>
      </c>
      <c r="R136" s="30">
        <v>527089</v>
      </c>
      <c r="S136" s="30">
        <v>536698</v>
      </c>
    </row>
    <row r="137" spans="1:19" x14ac:dyDescent="0.35">
      <c r="B137" s="2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35">
      <c r="B138" s="2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35">
      <c r="A139" s="1">
        <f>A115+1</f>
        <v>2027</v>
      </c>
      <c r="B139" t="str">
        <f>CONCATENATE("(F = ",$B$5," in ",A139," onward)")</f>
        <v>(F = Frebuild in 2027 onward)</v>
      </c>
      <c r="F139" s="31"/>
      <c r="G139" s="27"/>
      <c r="H139" s="27"/>
    </row>
    <row r="140" spans="1:19" x14ac:dyDescent="0.35">
      <c r="B140" s="22"/>
      <c r="E140" s="30"/>
      <c r="F140" s="30"/>
      <c r="G140" s="30">
        <v>2020</v>
      </c>
      <c r="H140" s="30">
        <v>2021</v>
      </c>
      <c r="I140" s="30">
        <v>2022</v>
      </c>
      <c r="J140" s="30">
        <v>2023</v>
      </c>
      <c r="K140" s="30">
        <v>2024</v>
      </c>
      <c r="L140" s="30">
        <v>2025</v>
      </c>
      <c r="M140" s="30">
        <v>2026</v>
      </c>
      <c r="N140" s="30">
        <v>2027</v>
      </c>
      <c r="O140" s="30">
        <v>2028</v>
      </c>
      <c r="P140" s="30">
        <v>2029</v>
      </c>
      <c r="Q140" s="30">
        <v>2030</v>
      </c>
      <c r="R140" s="30">
        <v>2031</v>
      </c>
      <c r="S140" s="30">
        <v>2032</v>
      </c>
    </row>
    <row r="141" spans="1:19" x14ac:dyDescent="0.35">
      <c r="B141" t="s">
        <v>10</v>
      </c>
      <c r="C141" s="3">
        <f>HLOOKUP(($A139-1),G140:S141,2,FALSE)</f>
        <v>134870</v>
      </c>
      <c r="E141" s="8" t="s">
        <v>1</v>
      </c>
      <c r="F141" s="8" t="s">
        <v>0</v>
      </c>
      <c r="G141" s="8">
        <v>60294</v>
      </c>
      <c r="H141" s="5">
        <v>63619</v>
      </c>
      <c r="I141" s="5">
        <v>70768</v>
      </c>
      <c r="J141">
        <v>82832</v>
      </c>
      <c r="K141" s="22">
        <v>98752</v>
      </c>
      <c r="L141" s="22">
        <v>116414</v>
      </c>
      <c r="M141" s="9">
        <v>134870</v>
      </c>
      <c r="N141">
        <v>151239</v>
      </c>
      <c r="O141">
        <v>163521</v>
      </c>
      <c r="P141">
        <v>175509</v>
      </c>
      <c r="Q141">
        <v>186728</v>
      </c>
      <c r="R141">
        <v>197070</v>
      </c>
      <c r="S141">
        <v>205479</v>
      </c>
    </row>
    <row r="142" spans="1:19" x14ac:dyDescent="0.35">
      <c r="B142" t="s">
        <v>14</v>
      </c>
      <c r="C142" s="3">
        <f>HLOOKUP($A139,G140:S149,10,FALSE)</f>
        <v>18110</v>
      </c>
      <c r="E142" s="8"/>
      <c r="F142" s="8" t="s">
        <v>2</v>
      </c>
      <c r="G142" s="8">
        <v>25841</v>
      </c>
      <c r="H142" s="5">
        <v>24764</v>
      </c>
      <c r="I142" s="5">
        <v>29101</v>
      </c>
      <c r="J142">
        <v>37294</v>
      </c>
      <c r="K142">
        <v>49875</v>
      </c>
      <c r="L142">
        <v>60969</v>
      </c>
      <c r="M142">
        <v>69214</v>
      </c>
      <c r="N142">
        <v>75092</v>
      </c>
      <c r="O142">
        <v>79721</v>
      </c>
      <c r="P142">
        <v>84008</v>
      </c>
      <c r="Q142">
        <v>88340</v>
      </c>
      <c r="R142">
        <v>93083</v>
      </c>
      <c r="S142">
        <v>98703</v>
      </c>
    </row>
    <row r="143" spans="1:19" x14ac:dyDescent="0.35">
      <c r="B143" t="s">
        <v>15</v>
      </c>
      <c r="C143" s="22">
        <f>C141/$C$6</f>
        <v>0.74476779501905133</v>
      </c>
      <c r="E143" s="8"/>
      <c r="F143" s="8" t="s">
        <v>27</v>
      </c>
      <c r="G143" s="8">
        <v>80434</v>
      </c>
      <c r="H143" s="5">
        <v>86837</v>
      </c>
      <c r="I143" s="5">
        <v>95989</v>
      </c>
      <c r="J143">
        <v>112755</v>
      </c>
      <c r="K143">
        <v>136285</v>
      </c>
      <c r="L143">
        <v>163477</v>
      </c>
      <c r="M143">
        <v>193007</v>
      </c>
      <c r="N143">
        <v>219674</v>
      </c>
      <c r="O143">
        <v>239103</v>
      </c>
      <c r="P143">
        <v>258363</v>
      </c>
      <c r="Q143">
        <v>272795</v>
      </c>
      <c r="R143">
        <v>283788</v>
      </c>
      <c r="S143">
        <v>290896</v>
      </c>
    </row>
    <row r="144" spans="1:19" x14ac:dyDescent="0.35">
      <c r="B144" s="22" t="s">
        <v>12</v>
      </c>
      <c r="C144" s="23">
        <f>$C$19</f>
        <v>1.5</v>
      </c>
      <c r="E144" s="8"/>
      <c r="F144" s="8" t="s">
        <v>3</v>
      </c>
      <c r="G144" s="8">
        <v>119119</v>
      </c>
      <c r="H144" s="5">
        <v>136007</v>
      </c>
      <c r="I144" s="5">
        <v>161248</v>
      </c>
      <c r="J144">
        <v>200081</v>
      </c>
      <c r="K144">
        <v>256930</v>
      </c>
      <c r="L144">
        <v>328366</v>
      </c>
      <c r="M144">
        <v>387399</v>
      </c>
      <c r="N144">
        <v>418302</v>
      </c>
      <c r="O144">
        <v>425074</v>
      </c>
      <c r="P144">
        <v>429742</v>
      </c>
      <c r="Q144">
        <v>435847</v>
      </c>
      <c r="R144">
        <v>441958</v>
      </c>
      <c r="S144">
        <v>448778</v>
      </c>
    </row>
    <row r="145" spans="1:19" x14ac:dyDescent="0.35">
      <c r="B145" t="s">
        <v>16</v>
      </c>
      <c r="C145">
        <f>SQRT(LN(C144^2+1))</f>
        <v>1.085658784490618</v>
      </c>
      <c r="E145" s="29" t="s">
        <v>9</v>
      </c>
      <c r="F145" s="29" t="s">
        <v>0</v>
      </c>
      <c r="G145" s="29">
        <v>0.38</v>
      </c>
      <c r="H145" s="32">
        <v>0.23</v>
      </c>
      <c r="I145" s="32">
        <v>0.21</v>
      </c>
      <c r="J145" s="29">
        <v>0.04</v>
      </c>
      <c r="K145" s="29">
        <v>0.05</v>
      </c>
      <c r="L145" s="29">
        <v>0.06</v>
      </c>
      <c r="M145" s="29">
        <v>7.0000000000000007E-2</v>
      </c>
      <c r="N145" s="29">
        <v>0.14000000000000001</v>
      </c>
      <c r="O145" s="29">
        <v>0.14000000000000001</v>
      </c>
      <c r="P145" s="29">
        <v>0.14000000000000001</v>
      </c>
      <c r="Q145" s="29">
        <v>0.14000000000000001</v>
      </c>
      <c r="R145" s="29">
        <v>0.14000000000000001</v>
      </c>
      <c r="S145" s="29">
        <v>0.14000000000000001</v>
      </c>
    </row>
    <row r="146" spans="1:19" x14ac:dyDescent="0.35">
      <c r="A146" s="1"/>
      <c r="B146" t="s">
        <v>17</v>
      </c>
      <c r="C146" s="6">
        <f>IF(C143&gt;=1.5,0.49,IF(C143&lt;0.1,0,IF(C143&lt;1,-0.05+0.5*C143,0.08*(C143)+0.37)))</f>
        <v>0.32238389750952567</v>
      </c>
      <c r="E146" s="8"/>
      <c r="F146" s="8" t="s">
        <v>2</v>
      </c>
      <c r="G146" s="8">
        <v>0.19</v>
      </c>
      <c r="H146" s="5">
        <v>0.11</v>
      </c>
      <c r="I146" s="5">
        <v>0.09</v>
      </c>
      <c r="J146" s="8">
        <v>0.02</v>
      </c>
      <c r="K146" s="8">
        <v>0.02</v>
      </c>
      <c r="L146" s="8">
        <v>0.02</v>
      </c>
      <c r="M146" s="8">
        <v>0.02</v>
      </c>
      <c r="N146" s="8">
        <v>0.14000000000000001</v>
      </c>
      <c r="O146" s="8">
        <v>0.14000000000000001</v>
      </c>
      <c r="P146" s="8">
        <v>0.14000000000000001</v>
      </c>
      <c r="Q146" s="8">
        <v>0.14000000000000001</v>
      </c>
      <c r="R146" s="8">
        <v>0.14000000000000001</v>
      </c>
      <c r="S146" s="8">
        <v>0.14000000000000001</v>
      </c>
    </row>
    <row r="147" spans="1:19" x14ac:dyDescent="0.35">
      <c r="B147" s="1" t="s">
        <v>7</v>
      </c>
      <c r="C147" s="24">
        <f>_xlfn.LOGNORM.INV(C146,LN(C142),C145)</f>
        <v>10978.391693993963</v>
      </c>
      <c r="E147" s="8"/>
      <c r="F147" s="8" t="s">
        <v>27</v>
      </c>
      <c r="G147" s="8">
        <v>0.51</v>
      </c>
      <c r="H147" s="5">
        <v>0.33</v>
      </c>
      <c r="I147" s="5">
        <v>0.28999999999999998</v>
      </c>
      <c r="J147" s="5">
        <v>0.06</v>
      </c>
      <c r="K147" s="8">
        <v>7.0000000000000007E-2</v>
      </c>
      <c r="L147" s="8">
        <v>0.08</v>
      </c>
      <c r="M147" s="8">
        <v>0.09</v>
      </c>
      <c r="N147" s="8">
        <v>0.14000000000000001</v>
      </c>
      <c r="O147" s="8">
        <v>0.14000000000000001</v>
      </c>
      <c r="P147" s="8">
        <v>0.14000000000000001</v>
      </c>
      <c r="Q147" s="8">
        <v>0.14000000000000001</v>
      </c>
      <c r="R147" s="8">
        <v>0.14000000000000001</v>
      </c>
      <c r="S147" s="8">
        <v>0.14000000000000001</v>
      </c>
    </row>
    <row r="148" spans="1:19" x14ac:dyDescent="0.35">
      <c r="B148" s="1" t="s">
        <v>18</v>
      </c>
      <c r="C148">
        <f>C147/C142</f>
        <v>0.60620605709519393</v>
      </c>
      <c r="E148" s="30"/>
      <c r="F148" s="30" t="s">
        <v>3</v>
      </c>
      <c r="G148" s="30">
        <v>0.89</v>
      </c>
      <c r="H148" s="37">
        <v>0.63</v>
      </c>
      <c r="I148" s="37">
        <v>0.54</v>
      </c>
      <c r="J148" s="30">
        <v>0.1</v>
      </c>
      <c r="K148" s="30">
        <v>0.1</v>
      </c>
      <c r="L148" s="30">
        <v>0.12</v>
      </c>
      <c r="M148" s="30">
        <v>0.14000000000000001</v>
      </c>
      <c r="N148" s="30">
        <v>0.14000000000000001</v>
      </c>
      <c r="O148" s="30">
        <v>0.14000000000000001</v>
      </c>
      <c r="P148" s="30">
        <v>0.14000000000000001</v>
      </c>
      <c r="Q148" s="30">
        <v>0.14000000000000001</v>
      </c>
      <c r="R148" s="30">
        <v>0.14000000000000001</v>
      </c>
      <c r="S148" s="30">
        <v>0.14000000000000001</v>
      </c>
    </row>
    <row r="149" spans="1:19" x14ac:dyDescent="0.35">
      <c r="B149" s="22"/>
      <c r="E149" s="8" t="s">
        <v>6</v>
      </c>
      <c r="F149" s="8" t="s">
        <v>0</v>
      </c>
      <c r="G149" s="8">
        <v>18014</v>
      </c>
      <c r="H149" s="5">
        <v>12220</v>
      </c>
      <c r="I149" s="5">
        <v>12055</v>
      </c>
      <c r="J149">
        <v>2976</v>
      </c>
      <c r="K149">
        <v>4168</v>
      </c>
      <c r="L149" s="22">
        <v>5879</v>
      </c>
      <c r="M149" s="22">
        <v>8127</v>
      </c>
      <c r="N149" s="9">
        <v>18110</v>
      </c>
      <c r="O149">
        <v>19640</v>
      </c>
      <c r="P149">
        <v>21086</v>
      </c>
      <c r="Q149">
        <v>22461</v>
      </c>
      <c r="R149">
        <v>23760</v>
      </c>
      <c r="S149">
        <v>24867</v>
      </c>
    </row>
    <row r="150" spans="1:19" x14ac:dyDescent="0.35">
      <c r="B150" s="39" t="s">
        <v>28</v>
      </c>
      <c r="C150" s="40">
        <f>ROUND(C147,0)</f>
        <v>10978</v>
      </c>
      <c r="E150" s="8"/>
      <c r="F150" s="8" t="s">
        <v>2</v>
      </c>
      <c r="G150" s="8">
        <v>18014</v>
      </c>
      <c r="H150" s="5">
        <v>12220</v>
      </c>
      <c r="I150" s="5">
        <v>12055</v>
      </c>
      <c r="J150">
        <v>2976</v>
      </c>
      <c r="K150">
        <v>4168</v>
      </c>
      <c r="L150">
        <v>5879</v>
      </c>
      <c r="M150">
        <v>8127</v>
      </c>
      <c r="N150">
        <v>8946</v>
      </c>
      <c r="O150">
        <v>9574</v>
      </c>
      <c r="P150">
        <v>10136</v>
      </c>
      <c r="Q150">
        <v>10693</v>
      </c>
      <c r="R150">
        <v>11320</v>
      </c>
      <c r="S150">
        <v>11981</v>
      </c>
    </row>
    <row r="151" spans="1:19" x14ac:dyDescent="0.35">
      <c r="B151" s="5"/>
      <c r="E151" s="8"/>
      <c r="F151" s="8" t="s">
        <v>27</v>
      </c>
      <c r="G151" s="8">
        <v>18014</v>
      </c>
      <c r="H151" s="5">
        <v>12220</v>
      </c>
      <c r="I151" s="5">
        <v>12055</v>
      </c>
      <c r="J151">
        <v>2976</v>
      </c>
      <c r="K151">
        <v>4168</v>
      </c>
      <c r="L151">
        <v>5879</v>
      </c>
      <c r="M151">
        <v>8127</v>
      </c>
      <c r="N151">
        <v>26187</v>
      </c>
      <c r="O151">
        <v>28439</v>
      </c>
      <c r="P151">
        <v>30723</v>
      </c>
      <c r="Q151">
        <v>32653</v>
      </c>
      <c r="R151">
        <v>34043</v>
      </c>
      <c r="S151">
        <v>35089</v>
      </c>
    </row>
    <row r="152" spans="1:19" x14ac:dyDescent="0.35">
      <c r="B152" s="5"/>
      <c r="E152" s="8"/>
      <c r="F152" s="8" t="s">
        <v>3</v>
      </c>
      <c r="G152" s="8">
        <v>18014</v>
      </c>
      <c r="H152" s="8">
        <v>12220</v>
      </c>
      <c r="I152" s="8">
        <v>12055</v>
      </c>
      <c r="J152">
        <v>2976</v>
      </c>
      <c r="K152">
        <v>4168</v>
      </c>
      <c r="L152">
        <v>5879</v>
      </c>
      <c r="M152">
        <v>8127</v>
      </c>
      <c r="N152">
        <v>49817</v>
      </c>
      <c r="O152">
        <v>50742</v>
      </c>
      <c r="P152">
        <v>51456</v>
      </c>
      <c r="Q152">
        <v>52104</v>
      </c>
      <c r="R152">
        <v>52820</v>
      </c>
      <c r="S152">
        <v>53639</v>
      </c>
    </row>
    <row r="153" spans="1:19" x14ac:dyDescent="0.35">
      <c r="B153" s="5"/>
      <c r="E153" s="29" t="s">
        <v>4</v>
      </c>
      <c r="F153" s="29" t="s">
        <v>0</v>
      </c>
      <c r="G153" s="29">
        <v>131006</v>
      </c>
      <c r="H153" s="29">
        <v>131990</v>
      </c>
      <c r="I153" s="29">
        <v>133111</v>
      </c>
      <c r="J153" s="29">
        <v>135596</v>
      </c>
      <c r="K153" s="29">
        <v>140878</v>
      </c>
      <c r="L153" s="29">
        <v>146126</v>
      </c>
      <c r="M153" s="29">
        <v>148298</v>
      </c>
      <c r="N153" s="29">
        <v>154589</v>
      </c>
      <c r="O153" s="29">
        <v>155340</v>
      </c>
      <c r="P153" s="29">
        <v>155506</v>
      </c>
      <c r="Q153" s="29">
        <v>157659</v>
      </c>
      <c r="R153" s="29">
        <v>160070</v>
      </c>
      <c r="S153" s="29">
        <v>161491</v>
      </c>
    </row>
    <row r="154" spans="1:19" x14ac:dyDescent="0.35">
      <c r="B154" s="5"/>
      <c r="E154" s="8"/>
      <c r="F154" s="8" t="s">
        <v>2</v>
      </c>
      <c r="G154" s="8">
        <v>26674</v>
      </c>
      <c r="H154" s="8">
        <v>26748</v>
      </c>
      <c r="I154" s="8">
        <v>26796</v>
      </c>
      <c r="J154" s="8">
        <v>26989</v>
      </c>
      <c r="K154" s="8">
        <v>27358</v>
      </c>
      <c r="L154" s="8">
        <v>29105</v>
      </c>
      <c r="M154" s="8">
        <v>30790</v>
      </c>
      <c r="N154" s="8">
        <v>31880</v>
      </c>
      <c r="O154" s="8">
        <v>32812</v>
      </c>
      <c r="P154" s="8">
        <v>33422</v>
      </c>
      <c r="Q154" s="8">
        <v>34075</v>
      </c>
      <c r="R154" s="8">
        <v>34377</v>
      </c>
      <c r="S154" s="8">
        <v>34577</v>
      </c>
    </row>
    <row r="155" spans="1:19" x14ac:dyDescent="0.35">
      <c r="B155" s="22"/>
      <c r="E155" s="8"/>
      <c r="F155" s="8" t="s">
        <v>27</v>
      </c>
      <c r="G155" s="8">
        <v>151002</v>
      </c>
      <c r="H155" s="8">
        <v>155867</v>
      </c>
      <c r="I155" s="8">
        <v>163702</v>
      </c>
      <c r="J155" s="8">
        <v>173979</v>
      </c>
      <c r="K155" s="8">
        <v>191139</v>
      </c>
      <c r="L155" s="8">
        <v>203019</v>
      </c>
      <c r="M155" s="8">
        <v>212910</v>
      </c>
      <c r="N155" s="8">
        <v>220257</v>
      </c>
      <c r="O155" s="8">
        <v>222550</v>
      </c>
      <c r="P155" s="8">
        <v>225982</v>
      </c>
      <c r="Q155" s="8">
        <v>226754</v>
      </c>
      <c r="R155" s="8">
        <v>227655</v>
      </c>
      <c r="S155" s="8">
        <v>228326</v>
      </c>
    </row>
    <row r="156" spans="1:19" x14ac:dyDescent="0.35">
      <c r="B156" s="22"/>
      <c r="E156" s="30"/>
      <c r="F156" s="30" t="s">
        <v>3</v>
      </c>
      <c r="G156" s="30">
        <v>350002</v>
      </c>
      <c r="H156" s="30">
        <v>367731</v>
      </c>
      <c r="I156" s="30">
        <v>376041</v>
      </c>
      <c r="J156" s="30">
        <v>476154</v>
      </c>
      <c r="K156" s="30">
        <v>573001</v>
      </c>
      <c r="L156" s="30">
        <v>775381</v>
      </c>
      <c r="M156" s="30">
        <v>900599</v>
      </c>
      <c r="N156" s="30">
        <v>980657</v>
      </c>
      <c r="O156" s="30">
        <v>1000527</v>
      </c>
      <c r="P156" s="30">
        <v>1058092</v>
      </c>
      <c r="Q156" s="30">
        <v>1063808</v>
      </c>
      <c r="R156" s="30">
        <v>1088808</v>
      </c>
      <c r="S156" s="30">
        <v>1087842</v>
      </c>
    </row>
    <row r="157" spans="1:19" x14ac:dyDescent="0.35">
      <c r="B157" s="22"/>
      <c r="E157" s="8" t="s">
        <v>5</v>
      </c>
      <c r="F157" s="8" t="s">
        <v>0</v>
      </c>
      <c r="G157" s="8">
        <v>84112</v>
      </c>
      <c r="H157" s="8">
        <v>86380</v>
      </c>
      <c r="I157" s="8">
        <v>94862</v>
      </c>
      <c r="J157">
        <v>103876</v>
      </c>
      <c r="K157">
        <v>122521</v>
      </c>
      <c r="L157">
        <v>144966</v>
      </c>
      <c r="M157">
        <v>169566</v>
      </c>
      <c r="N157">
        <v>194555</v>
      </c>
      <c r="O157">
        <v>210066</v>
      </c>
      <c r="P157">
        <v>224455</v>
      </c>
      <c r="Q157">
        <v>238257</v>
      </c>
      <c r="R157">
        <v>250480</v>
      </c>
      <c r="S157">
        <v>260432</v>
      </c>
    </row>
    <row r="158" spans="1:19" x14ac:dyDescent="0.35">
      <c r="B158" s="22"/>
      <c r="E158" s="8"/>
      <c r="F158" s="8" t="s">
        <v>2</v>
      </c>
      <c r="G158" s="8">
        <v>44855</v>
      </c>
      <c r="H158" s="8">
        <v>42751</v>
      </c>
      <c r="I158" s="8">
        <v>47284</v>
      </c>
      <c r="J158">
        <v>52079</v>
      </c>
      <c r="K158">
        <v>66266</v>
      </c>
      <c r="L158">
        <v>78967</v>
      </c>
      <c r="M158">
        <v>88958</v>
      </c>
      <c r="N158">
        <v>96291</v>
      </c>
      <c r="O158">
        <v>101967</v>
      </c>
      <c r="P158">
        <v>107552</v>
      </c>
      <c r="Q158">
        <v>113547</v>
      </c>
      <c r="R158">
        <v>120146</v>
      </c>
      <c r="S158">
        <v>127052</v>
      </c>
    </row>
    <row r="159" spans="1:19" x14ac:dyDescent="0.35">
      <c r="B159" s="22"/>
      <c r="E159" s="8"/>
      <c r="F159" s="8" t="s">
        <v>27</v>
      </c>
      <c r="G159" s="8">
        <v>107092</v>
      </c>
      <c r="H159" s="8">
        <v>112274</v>
      </c>
      <c r="I159" s="8">
        <v>124403</v>
      </c>
      <c r="J159">
        <v>139888</v>
      </c>
      <c r="K159">
        <v>169945</v>
      </c>
      <c r="L159">
        <v>205888</v>
      </c>
      <c r="M159">
        <v>244898</v>
      </c>
      <c r="N159">
        <v>284278</v>
      </c>
      <c r="O159">
        <v>308156</v>
      </c>
      <c r="P159">
        <v>328048</v>
      </c>
      <c r="Q159">
        <v>343424</v>
      </c>
      <c r="R159">
        <v>354207</v>
      </c>
      <c r="S159">
        <v>362611</v>
      </c>
    </row>
    <row r="160" spans="1:19" x14ac:dyDescent="0.35">
      <c r="B160" s="22"/>
      <c r="E160" s="30"/>
      <c r="F160" s="30" t="s">
        <v>3</v>
      </c>
      <c r="G160" s="30">
        <v>151237</v>
      </c>
      <c r="H160" s="30">
        <v>174970</v>
      </c>
      <c r="I160" s="30">
        <v>211649</v>
      </c>
      <c r="J160" s="30">
        <v>262223</v>
      </c>
      <c r="K160" s="30">
        <v>329281</v>
      </c>
      <c r="L160" s="30">
        <v>394675</v>
      </c>
      <c r="M160" s="30">
        <v>452829</v>
      </c>
      <c r="N160" s="30">
        <v>503544</v>
      </c>
      <c r="O160" s="30">
        <v>513273</v>
      </c>
      <c r="P160" s="30">
        <v>519508</v>
      </c>
      <c r="Q160" s="30">
        <v>526944</v>
      </c>
      <c r="R160" s="30">
        <v>535401</v>
      </c>
      <c r="S160" s="30">
        <v>542234</v>
      </c>
    </row>
    <row r="161" spans="1:19" x14ac:dyDescent="0.35">
      <c r="B161" s="2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35">
      <c r="B162" s="2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35">
      <c r="A163" s="1">
        <f>A139+1</f>
        <v>2028</v>
      </c>
      <c r="B163" t="str">
        <f>CONCATENATE("(F = ",$B$5," in ",A163," onward)")</f>
        <v>(F = Frebuild in 2028 onward)</v>
      </c>
      <c r="F163" s="31"/>
      <c r="G163" s="27"/>
      <c r="H163" s="27"/>
    </row>
    <row r="164" spans="1:19" x14ac:dyDescent="0.35">
      <c r="B164" s="22"/>
      <c r="E164" s="30"/>
      <c r="F164" s="30"/>
      <c r="G164" s="30">
        <v>2020</v>
      </c>
      <c r="H164" s="30">
        <v>2021</v>
      </c>
      <c r="I164" s="30">
        <v>2022</v>
      </c>
      <c r="J164" s="30">
        <v>2023</v>
      </c>
      <c r="K164" s="30">
        <v>2024</v>
      </c>
      <c r="L164" s="30">
        <v>2025</v>
      </c>
      <c r="M164" s="30">
        <v>2026</v>
      </c>
      <c r="N164" s="30">
        <v>2027</v>
      </c>
      <c r="O164" s="30">
        <v>2028</v>
      </c>
      <c r="P164" s="30">
        <v>2029</v>
      </c>
      <c r="Q164" s="30">
        <v>2030</v>
      </c>
      <c r="R164" s="30">
        <v>2031</v>
      </c>
      <c r="S164" s="30">
        <v>2032</v>
      </c>
    </row>
    <row r="165" spans="1:19" x14ac:dyDescent="0.35">
      <c r="B165" t="s">
        <v>10</v>
      </c>
      <c r="C165" s="3">
        <f>HLOOKUP(($A163-1),G164:S165,2,FALSE)</f>
        <v>154147</v>
      </c>
      <c r="E165" s="8" t="s">
        <v>1</v>
      </c>
      <c r="F165" s="8" t="s">
        <v>0</v>
      </c>
      <c r="G165" s="8">
        <v>60294</v>
      </c>
      <c r="H165" s="5">
        <v>63619</v>
      </c>
      <c r="I165" s="5">
        <v>70768</v>
      </c>
      <c r="J165">
        <v>82832</v>
      </c>
      <c r="K165" s="22">
        <v>98752</v>
      </c>
      <c r="L165" s="22">
        <v>116414</v>
      </c>
      <c r="M165" s="22">
        <v>134870</v>
      </c>
      <c r="N165" s="9">
        <v>154147</v>
      </c>
      <c r="O165">
        <v>170270</v>
      </c>
      <c r="P165">
        <v>181501</v>
      </c>
      <c r="Q165">
        <v>191906</v>
      </c>
      <c r="R165">
        <v>201433</v>
      </c>
      <c r="S165">
        <v>209042</v>
      </c>
    </row>
    <row r="166" spans="1:19" x14ac:dyDescent="0.35">
      <c r="B166" t="s">
        <v>14</v>
      </c>
      <c r="C166" s="3">
        <f>HLOOKUP($A163,G164:S173,10,FALSE)</f>
        <v>20484</v>
      </c>
      <c r="E166" s="8"/>
      <c r="F166" s="8" t="s">
        <v>2</v>
      </c>
      <c r="G166" s="8">
        <v>25841</v>
      </c>
      <c r="H166" s="5">
        <v>24764</v>
      </c>
      <c r="I166" s="5">
        <v>29101</v>
      </c>
      <c r="J166">
        <v>37294</v>
      </c>
      <c r="K166">
        <v>49875</v>
      </c>
      <c r="L166">
        <v>60969</v>
      </c>
      <c r="M166">
        <v>69214</v>
      </c>
      <c r="N166">
        <v>74293</v>
      </c>
      <c r="O166">
        <v>78205</v>
      </c>
      <c r="P166">
        <v>82876</v>
      </c>
      <c r="Q166">
        <v>87466</v>
      </c>
      <c r="R166">
        <v>92444</v>
      </c>
      <c r="S166">
        <v>98120</v>
      </c>
    </row>
    <row r="167" spans="1:19" x14ac:dyDescent="0.35">
      <c r="B167" t="s">
        <v>15</v>
      </c>
      <c r="C167" s="22">
        <f>C165/$C$6</f>
        <v>0.85121762659451106</v>
      </c>
      <c r="E167" s="8"/>
      <c r="F167" s="8" t="s">
        <v>27</v>
      </c>
      <c r="G167" s="8">
        <v>80434</v>
      </c>
      <c r="H167" s="5">
        <v>86837</v>
      </c>
      <c r="I167" s="5">
        <v>95989</v>
      </c>
      <c r="J167">
        <v>112755</v>
      </c>
      <c r="K167">
        <v>136285</v>
      </c>
      <c r="L167">
        <v>163477</v>
      </c>
      <c r="M167">
        <v>193007</v>
      </c>
      <c r="N167">
        <v>225924</v>
      </c>
      <c r="O167">
        <v>253009</v>
      </c>
      <c r="P167">
        <v>270257</v>
      </c>
      <c r="Q167">
        <v>282835</v>
      </c>
      <c r="R167">
        <v>291556</v>
      </c>
      <c r="S167">
        <v>296463</v>
      </c>
    </row>
    <row r="168" spans="1:19" x14ac:dyDescent="0.35">
      <c r="B168" s="22" t="s">
        <v>12</v>
      </c>
      <c r="C168" s="23">
        <f>$C$19</f>
        <v>1.5</v>
      </c>
      <c r="E168" s="8"/>
      <c r="F168" s="8" t="s">
        <v>3</v>
      </c>
      <c r="G168" s="8">
        <v>119119</v>
      </c>
      <c r="H168" s="5">
        <v>136007</v>
      </c>
      <c r="I168" s="5">
        <v>161248</v>
      </c>
      <c r="J168">
        <v>200081</v>
      </c>
      <c r="K168">
        <v>256930</v>
      </c>
      <c r="L168">
        <v>328366</v>
      </c>
      <c r="M168">
        <v>387399</v>
      </c>
      <c r="N168">
        <v>434603</v>
      </c>
      <c r="O168">
        <v>457831</v>
      </c>
      <c r="P168">
        <v>453939</v>
      </c>
      <c r="Q168">
        <v>452560</v>
      </c>
      <c r="R168">
        <v>452419</v>
      </c>
      <c r="S168">
        <v>455391</v>
      </c>
    </row>
    <row r="169" spans="1:19" x14ac:dyDescent="0.35">
      <c r="B169" t="s">
        <v>16</v>
      </c>
      <c r="C169">
        <f>SQRT(LN(C168^2+1))</f>
        <v>1.085658784490618</v>
      </c>
      <c r="E169" s="29" t="s">
        <v>9</v>
      </c>
      <c r="F169" s="29" t="s">
        <v>0</v>
      </c>
      <c r="G169" s="29">
        <v>0.38</v>
      </c>
      <c r="H169" s="32">
        <v>0.23</v>
      </c>
      <c r="I169" s="32">
        <v>0.21</v>
      </c>
      <c r="J169" s="29">
        <v>0.04</v>
      </c>
      <c r="K169" s="29">
        <v>0.05</v>
      </c>
      <c r="L169" s="29">
        <v>0.06</v>
      </c>
      <c r="M169" s="29">
        <v>7.0000000000000007E-2</v>
      </c>
      <c r="N169" s="29">
        <v>0.08</v>
      </c>
      <c r="O169" s="29">
        <v>0.14000000000000001</v>
      </c>
      <c r="P169" s="29">
        <v>0.14000000000000001</v>
      </c>
      <c r="Q169" s="29">
        <v>0.14000000000000001</v>
      </c>
      <c r="R169" s="29">
        <v>0.14000000000000001</v>
      </c>
      <c r="S169" s="29">
        <v>0.14000000000000001</v>
      </c>
    </row>
    <row r="170" spans="1:19" x14ac:dyDescent="0.35">
      <c r="A170" s="1"/>
      <c r="B170" t="s">
        <v>17</v>
      </c>
      <c r="C170" s="6">
        <f>IF(C167&gt;=1.5,0.49,IF(C167&lt;0.1,0,IF(C167&lt;1,-0.05+0.5*C167,0.08*(C167)+0.37)))</f>
        <v>0.37560881329725554</v>
      </c>
      <c r="E170" s="8"/>
      <c r="F170" s="8" t="s">
        <v>2</v>
      </c>
      <c r="G170" s="8">
        <v>0.19</v>
      </c>
      <c r="H170" s="5">
        <v>0.11</v>
      </c>
      <c r="I170" s="5">
        <v>0.09</v>
      </c>
      <c r="J170" s="8">
        <v>0.02</v>
      </c>
      <c r="K170" s="8">
        <v>0.02</v>
      </c>
      <c r="L170" s="8">
        <v>0.02</v>
      </c>
      <c r="M170" s="8">
        <v>0.02</v>
      </c>
      <c r="N170" s="8">
        <v>0.03</v>
      </c>
      <c r="O170" s="8">
        <v>0.14000000000000001</v>
      </c>
      <c r="P170" s="8">
        <v>0.14000000000000001</v>
      </c>
      <c r="Q170" s="8">
        <v>0.14000000000000001</v>
      </c>
      <c r="R170" s="8">
        <v>0.14000000000000001</v>
      </c>
      <c r="S170" s="8">
        <v>0.14000000000000001</v>
      </c>
    </row>
    <row r="171" spans="1:19" x14ac:dyDescent="0.35">
      <c r="B171" s="1" t="s">
        <v>7</v>
      </c>
      <c r="C171" s="24">
        <f>_xlfn.LOGNORM.INV(C170,LN(C166),C169)</f>
        <v>14518.926775716396</v>
      </c>
      <c r="E171" s="8"/>
      <c r="F171" s="8" t="s">
        <v>27</v>
      </c>
      <c r="G171" s="8">
        <v>0.51</v>
      </c>
      <c r="H171" s="5">
        <v>0.33</v>
      </c>
      <c r="I171" s="5">
        <v>0.28999999999999998</v>
      </c>
      <c r="J171" s="5">
        <v>0.06</v>
      </c>
      <c r="K171" s="8">
        <v>7.0000000000000007E-2</v>
      </c>
      <c r="L171" s="8">
        <v>0.08</v>
      </c>
      <c r="M171" s="8">
        <v>0.09</v>
      </c>
      <c r="N171" s="8">
        <v>0.12</v>
      </c>
      <c r="O171" s="8">
        <v>0.14000000000000001</v>
      </c>
      <c r="P171" s="8">
        <v>0.14000000000000001</v>
      </c>
      <c r="Q171" s="8">
        <v>0.14000000000000001</v>
      </c>
      <c r="R171" s="8">
        <v>0.14000000000000001</v>
      </c>
      <c r="S171" s="8">
        <v>0.14000000000000001</v>
      </c>
    </row>
    <row r="172" spans="1:19" x14ac:dyDescent="0.35">
      <c r="B172" s="1" t="s">
        <v>18</v>
      </c>
      <c r="C172">
        <f>C171/C166</f>
        <v>0.7087935352331769</v>
      </c>
      <c r="E172" s="30"/>
      <c r="F172" s="30" t="s">
        <v>3</v>
      </c>
      <c r="G172" s="30">
        <v>0.89</v>
      </c>
      <c r="H172" s="37">
        <v>0.63</v>
      </c>
      <c r="I172" s="37">
        <v>0.54</v>
      </c>
      <c r="J172" s="30">
        <v>0.1</v>
      </c>
      <c r="K172" s="30">
        <v>0.1</v>
      </c>
      <c r="L172" s="30">
        <v>0.12</v>
      </c>
      <c r="M172" s="30">
        <v>0.14000000000000001</v>
      </c>
      <c r="N172" s="30">
        <v>0.17</v>
      </c>
      <c r="O172" s="30">
        <v>0.14000000000000001</v>
      </c>
      <c r="P172" s="30">
        <v>0.14000000000000001</v>
      </c>
      <c r="Q172" s="30">
        <v>0.14000000000000001</v>
      </c>
      <c r="R172" s="30">
        <v>0.14000000000000001</v>
      </c>
      <c r="S172" s="30">
        <v>0.14000000000000001</v>
      </c>
    </row>
    <row r="173" spans="1:19" x14ac:dyDescent="0.35">
      <c r="B173" s="22"/>
      <c r="E173" s="8" t="s">
        <v>6</v>
      </c>
      <c r="F173" s="8" t="s">
        <v>0</v>
      </c>
      <c r="G173" s="8">
        <v>18014</v>
      </c>
      <c r="H173" s="5">
        <v>12220</v>
      </c>
      <c r="I173" s="5">
        <v>12055</v>
      </c>
      <c r="J173">
        <v>2976</v>
      </c>
      <c r="K173">
        <v>4168</v>
      </c>
      <c r="L173" s="22">
        <v>5879</v>
      </c>
      <c r="M173" s="22">
        <v>8127</v>
      </c>
      <c r="N173" s="22">
        <v>10978</v>
      </c>
      <c r="O173" s="9">
        <v>20484</v>
      </c>
      <c r="P173">
        <v>21860</v>
      </c>
      <c r="Q173">
        <v>23138</v>
      </c>
      <c r="R173">
        <v>24335</v>
      </c>
      <c r="S173">
        <v>25342</v>
      </c>
    </row>
    <row r="174" spans="1:19" x14ac:dyDescent="0.35">
      <c r="B174" s="39" t="s">
        <v>28</v>
      </c>
      <c r="C174" s="40">
        <f>ROUND(C171,0)</f>
        <v>14519</v>
      </c>
      <c r="E174" s="8"/>
      <c r="F174" s="8" t="s">
        <v>2</v>
      </c>
      <c r="G174" s="8">
        <v>18014</v>
      </c>
      <c r="H174" s="5">
        <v>12220</v>
      </c>
      <c r="I174" s="5">
        <v>12055</v>
      </c>
      <c r="J174">
        <v>2976</v>
      </c>
      <c r="K174">
        <v>4168</v>
      </c>
      <c r="L174">
        <v>5879</v>
      </c>
      <c r="M174">
        <v>8127</v>
      </c>
      <c r="N174">
        <v>10978</v>
      </c>
      <c r="O174">
        <v>9368</v>
      </c>
      <c r="P174">
        <v>9963</v>
      </c>
      <c r="Q174">
        <v>10566</v>
      </c>
      <c r="R174">
        <v>11204</v>
      </c>
      <c r="S174">
        <v>11882</v>
      </c>
    </row>
    <row r="175" spans="1:19" x14ac:dyDescent="0.35">
      <c r="B175" s="5"/>
      <c r="E175" s="8"/>
      <c r="F175" s="8" t="s">
        <v>27</v>
      </c>
      <c r="G175" s="8">
        <v>18014</v>
      </c>
      <c r="H175" s="5">
        <v>12220</v>
      </c>
      <c r="I175" s="5">
        <v>12055</v>
      </c>
      <c r="J175">
        <v>2976</v>
      </c>
      <c r="K175">
        <v>4168</v>
      </c>
      <c r="L175">
        <v>5879</v>
      </c>
      <c r="M175">
        <v>8127</v>
      </c>
      <c r="N175">
        <v>10978</v>
      </c>
      <c r="O175">
        <v>30159</v>
      </c>
      <c r="P175">
        <v>32195</v>
      </c>
      <c r="Q175">
        <v>33965</v>
      </c>
      <c r="R175">
        <v>35086</v>
      </c>
      <c r="S175">
        <v>35865</v>
      </c>
    </row>
    <row r="176" spans="1:19" x14ac:dyDescent="0.35">
      <c r="B176" s="5"/>
      <c r="E176" s="8"/>
      <c r="F176" s="8" t="s">
        <v>3</v>
      </c>
      <c r="G176" s="8">
        <v>18014</v>
      </c>
      <c r="H176" s="8">
        <v>12220</v>
      </c>
      <c r="I176" s="8">
        <v>12055</v>
      </c>
      <c r="J176">
        <v>2976</v>
      </c>
      <c r="K176">
        <v>4168</v>
      </c>
      <c r="L176">
        <v>5879</v>
      </c>
      <c r="M176">
        <v>8127</v>
      </c>
      <c r="N176">
        <v>10978</v>
      </c>
      <c r="O176">
        <v>54953</v>
      </c>
      <c r="P176">
        <v>54755</v>
      </c>
      <c r="Q176">
        <v>54528</v>
      </c>
      <c r="R176">
        <v>54392</v>
      </c>
      <c r="S176">
        <v>54676</v>
      </c>
    </row>
    <row r="177" spans="1:19" x14ac:dyDescent="0.35">
      <c r="B177" s="5"/>
      <c r="E177" s="29" t="s">
        <v>4</v>
      </c>
      <c r="F177" s="29" t="s">
        <v>0</v>
      </c>
      <c r="G177" s="29">
        <v>131006</v>
      </c>
      <c r="H177" s="29">
        <v>131990</v>
      </c>
      <c r="I177" s="29">
        <v>133111</v>
      </c>
      <c r="J177" s="29">
        <v>135596</v>
      </c>
      <c r="K177" s="29">
        <v>140878</v>
      </c>
      <c r="L177" s="29">
        <v>146126</v>
      </c>
      <c r="M177" s="29">
        <v>148298</v>
      </c>
      <c r="N177" s="29">
        <v>154567</v>
      </c>
      <c r="O177" s="29">
        <v>155327</v>
      </c>
      <c r="P177" s="29">
        <v>155494</v>
      </c>
      <c r="Q177" s="29">
        <v>157189</v>
      </c>
      <c r="R177" s="29">
        <v>159720</v>
      </c>
      <c r="S177" s="29">
        <v>161320</v>
      </c>
    </row>
    <row r="178" spans="1:19" x14ac:dyDescent="0.35">
      <c r="B178" s="5"/>
      <c r="E178" s="8"/>
      <c r="F178" s="8" t="s">
        <v>2</v>
      </c>
      <c r="G178" s="8">
        <v>26674</v>
      </c>
      <c r="H178" s="8">
        <v>26748</v>
      </c>
      <c r="I178" s="8">
        <v>26796</v>
      </c>
      <c r="J178" s="8">
        <v>26989</v>
      </c>
      <c r="K178" s="8">
        <v>27358</v>
      </c>
      <c r="L178" s="8">
        <v>29105</v>
      </c>
      <c r="M178" s="8">
        <v>30790</v>
      </c>
      <c r="N178" s="8">
        <v>31878</v>
      </c>
      <c r="O178" s="8">
        <v>32738</v>
      </c>
      <c r="P178" s="8">
        <v>33340</v>
      </c>
      <c r="Q178" s="8">
        <v>34020</v>
      </c>
      <c r="R178" s="8">
        <v>34310</v>
      </c>
      <c r="S178" s="8">
        <v>34569</v>
      </c>
    </row>
    <row r="179" spans="1:19" x14ac:dyDescent="0.35">
      <c r="B179" s="22"/>
      <c r="E179" s="8"/>
      <c r="F179" s="8" t="s">
        <v>27</v>
      </c>
      <c r="G179" s="8">
        <v>151002</v>
      </c>
      <c r="H179" s="8">
        <v>155867</v>
      </c>
      <c r="I179" s="8">
        <v>163702</v>
      </c>
      <c r="J179" s="8">
        <v>173979</v>
      </c>
      <c r="K179" s="8">
        <v>191139</v>
      </c>
      <c r="L179" s="8">
        <v>203019</v>
      </c>
      <c r="M179" s="8">
        <v>212910</v>
      </c>
      <c r="N179" s="8">
        <v>220208</v>
      </c>
      <c r="O179" s="8">
        <v>222398</v>
      </c>
      <c r="P179" s="8">
        <v>225742</v>
      </c>
      <c r="Q179" s="8">
        <v>226584</v>
      </c>
      <c r="R179" s="8">
        <v>227580</v>
      </c>
      <c r="S179" s="8">
        <v>228293</v>
      </c>
    </row>
    <row r="180" spans="1:19" x14ac:dyDescent="0.35">
      <c r="B180" s="22"/>
      <c r="E180" s="30"/>
      <c r="F180" s="30" t="s">
        <v>3</v>
      </c>
      <c r="G180" s="30">
        <v>350002</v>
      </c>
      <c r="H180" s="30">
        <v>367731</v>
      </c>
      <c r="I180" s="30">
        <v>376041</v>
      </c>
      <c r="J180" s="30">
        <v>476154</v>
      </c>
      <c r="K180" s="30">
        <v>573001</v>
      </c>
      <c r="L180" s="30">
        <v>775381</v>
      </c>
      <c r="M180" s="30">
        <v>900599</v>
      </c>
      <c r="N180" s="30">
        <v>980926</v>
      </c>
      <c r="O180" s="30">
        <v>998943</v>
      </c>
      <c r="P180" s="30">
        <v>1054089</v>
      </c>
      <c r="Q180" s="30">
        <v>1062333</v>
      </c>
      <c r="R180" s="30">
        <v>1087578</v>
      </c>
      <c r="S180" s="30">
        <v>1086617</v>
      </c>
    </row>
    <row r="181" spans="1:19" x14ac:dyDescent="0.35">
      <c r="B181" s="22"/>
      <c r="E181" s="8" t="s">
        <v>5</v>
      </c>
      <c r="F181" s="8" t="s">
        <v>0</v>
      </c>
      <c r="G181" s="8">
        <v>84112</v>
      </c>
      <c r="H181" s="8">
        <v>86380</v>
      </c>
      <c r="I181" s="8">
        <v>94862</v>
      </c>
      <c r="J181">
        <v>103876</v>
      </c>
      <c r="K181">
        <v>122521</v>
      </c>
      <c r="L181">
        <v>144966</v>
      </c>
      <c r="M181">
        <v>169566</v>
      </c>
      <c r="N181">
        <v>194555</v>
      </c>
      <c r="O181">
        <v>218160</v>
      </c>
      <c r="P181">
        <v>231784</v>
      </c>
      <c r="Q181">
        <v>244416</v>
      </c>
      <c r="R181">
        <v>255557</v>
      </c>
      <c r="S181">
        <v>264777</v>
      </c>
    </row>
    <row r="182" spans="1:19" x14ac:dyDescent="0.35">
      <c r="B182" s="22"/>
      <c r="E182" s="8"/>
      <c r="F182" s="8" t="s">
        <v>2</v>
      </c>
      <c r="G182" s="8">
        <v>44855</v>
      </c>
      <c r="H182" s="8">
        <v>42751</v>
      </c>
      <c r="I182" s="8">
        <v>47284</v>
      </c>
      <c r="J182">
        <v>52079</v>
      </c>
      <c r="K182">
        <v>66266</v>
      </c>
      <c r="L182">
        <v>78967</v>
      </c>
      <c r="M182">
        <v>88958</v>
      </c>
      <c r="N182">
        <v>96291</v>
      </c>
      <c r="O182">
        <v>100280</v>
      </c>
      <c r="P182">
        <v>106152</v>
      </c>
      <c r="Q182">
        <v>112431</v>
      </c>
      <c r="R182">
        <v>119212</v>
      </c>
      <c r="S182">
        <v>126388</v>
      </c>
    </row>
    <row r="183" spans="1:19" x14ac:dyDescent="0.35">
      <c r="B183" s="22"/>
      <c r="E183" s="8"/>
      <c r="F183" s="8" t="s">
        <v>27</v>
      </c>
      <c r="G183" s="8">
        <v>107092</v>
      </c>
      <c r="H183" s="8">
        <v>112274</v>
      </c>
      <c r="I183" s="8">
        <v>124403</v>
      </c>
      <c r="J183">
        <v>139888</v>
      </c>
      <c r="K183">
        <v>169945</v>
      </c>
      <c r="L183">
        <v>205888</v>
      </c>
      <c r="M183">
        <v>244898</v>
      </c>
      <c r="N183">
        <v>284278</v>
      </c>
      <c r="O183">
        <v>323538</v>
      </c>
      <c r="P183">
        <v>341078</v>
      </c>
      <c r="Q183">
        <v>354258</v>
      </c>
      <c r="R183">
        <v>362614</v>
      </c>
      <c r="S183">
        <v>368644</v>
      </c>
    </row>
    <row r="184" spans="1:19" x14ac:dyDescent="0.35">
      <c r="B184" s="22"/>
      <c r="E184" s="30"/>
      <c r="F184" s="30" t="s">
        <v>3</v>
      </c>
      <c r="G184" s="30">
        <v>151237</v>
      </c>
      <c r="H184" s="30">
        <v>174970</v>
      </c>
      <c r="I184" s="30">
        <v>211649</v>
      </c>
      <c r="J184" s="30">
        <v>262223</v>
      </c>
      <c r="K184" s="30">
        <v>329281</v>
      </c>
      <c r="L184" s="30">
        <v>394675</v>
      </c>
      <c r="M184" s="30">
        <v>452829</v>
      </c>
      <c r="N184" s="30">
        <v>503544</v>
      </c>
      <c r="O184" s="30">
        <v>549163</v>
      </c>
      <c r="P184" s="30">
        <v>546985</v>
      </c>
      <c r="Q184" s="30">
        <v>545575</v>
      </c>
      <c r="R184" s="30">
        <v>547657</v>
      </c>
      <c r="S184" s="30">
        <v>550315</v>
      </c>
    </row>
    <row r="185" spans="1:19" x14ac:dyDescent="0.35">
      <c r="B185" s="2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35">
      <c r="B186" s="2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35">
      <c r="A187" s="1">
        <f>A163+1</f>
        <v>2029</v>
      </c>
      <c r="B187" t="str">
        <f>CONCATENATE("(F = ",$B$5," in ",A187," onward)")</f>
        <v>(F = Frebuild in 2029 onward)</v>
      </c>
      <c r="F187" s="31"/>
      <c r="G187" s="27"/>
      <c r="H187" s="27"/>
    </row>
    <row r="188" spans="1:19" x14ac:dyDescent="0.35">
      <c r="B188" s="22"/>
      <c r="E188" s="30"/>
      <c r="F188" s="30"/>
      <c r="G188" s="30">
        <v>2020</v>
      </c>
      <c r="H188" s="30">
        <v>2021</v>
      </c>
      <c r="I188" s="30">
        <v>2022</v>
      </c>
      <c r="J188" s="30">
        <v>2023</v>
      </c>
      <c r="K188" s="30">
        <v>2024</v>
      </c>
      <c r="L188" s="30">
        <v>2025</v>
      </c>
      <c r="M188" s="30">
        <v>2026</v>
      </c>
      <c r="N188" s="30">
        <v>2027</v>
      </c>
      <c r="O188" s="30">
        <v>2028</v>
      </c>
      <c r="P188" s="30">
        <v>2029</v>
      </c>
      <c r="Q188" s="30">
        <v>2030</v>
      </c>
      <c r="R188" s="30">
        <v>2031</v>
      </c>
      <c r="S188" s="30">
        <v>2032</v>
      </c>
    </row>
    <row r="189" spans="1:19" x14ac:dyDescent="0.35">
      <c r="B189" t="s">
        <v>10</v>
      </c>
      <c r="C189" s="3">
        <f>HLOOKUP(($A187-1),G188:S189,2,FALSE)</f>
        <v>172753</v>
      </c>
      <c r="E189" s="8" t="s">
        <v>1</v>
      </c>
      <c r="F189" s="8" t="s">
        <v>0</v>
      </c>
      <c r="G189" s="8">
        <v>60294</v>
      </c>
      <c r="H189" s="5">
        <v>63619</v>
      </c>
      <c r="I189" s="5">
        <v>70768</v>
      </c>
      <c r="J189">
        <v>82832</v>
      </c>
      <c r="K189" s="22">
        <v>98752</v>
      </c>
      <c r="L189" s="22">
        <v>116414</v>
      </c>
      <c r="M189" s="22">
        <v>134870</v>
      </c>
      <c r="N189" s="22">
        <v>154147</v>
      </c>
      <c r="O189" s="9">
        <v>172753</v>
      </c>
      <c r="P189">
        <v>187251</v>
      </c>
      <c r="Q189">
        <v>197060</v>
      </c>
      <c r="R189">
        <v>205693</v>
      </c>
      <c r="S189">
        <v>212538</v>
      </c>
    </row>
    <row r="190" spans="1:19" x14ac:dyDescent="0.35">
      <c r="B190" t="s">
        <v>14</v>
      </c>
      <c r="C190" s="3">
        <f>HLOOKUP($A187,G188:S197,10,FALSE)</f>
        <v>22576</v>
      </c>
      <c r="E190" s="8"/>
      <c r="F190" s="8" t="s">
        <v>2</v>
      </c>
      <c r="G190" s="8">
        <v>25841</v>
      </c>
      <c r="H190" s="5">
        <v>24764</v>
      </c>
      <c r="I190" s="5">
        <v>29101</v>
      </c>
      <c r="J190">
        <v>37294</v>
      </c>
      <c r="K190">
        <v>49875</v>
      </c>
      <c r="L190">
        <v>60969</v>
      </c>
      <c r="M190">
        <v>69214</v>
      </c>
      <c r="N190">
        <v>74293</v>
      </c>
      <c r="O190">
        <v>76077</v>
      </c>
      <c r="P190">
        <v>78477</v>
      </c>
      <c r="Q190">
        <v>83721</v>
      </c>
      <c r="R190">
        <v>89094</v>
      </c>
      <c r="S190">
        <v>94777</v>
      </c>
    </row>
    <row r="191" spans="1:19" x14ac:dyDescent="0.35">
      <c r="B191" t="s">
        <v>15</v>
      </c>
      <c r="C191" s="22">
        <f>C189/$C$6</f>
        <v>0.95396211828372635</v>
      </c>
      <c r="E191" s="8"/>
      <c r="F191" s="8" t="s">
        <v>27</v>
      </c>
      <c r="G191" s="8">
        <v>80434</v>
      </c>
      <c r="H191" s="5">
        <v>86837</v>
      </c>
      <c r="I191" s="5">
        <v>95989</v>
      </c>
      <c r="J191">
        <v>112755</v>
      </c>
      <c r="K191">
        <v>136285</v>
      </c>
      <c r="L191">
        <v>163477</v>
      </c>
      <c r="M191">
        <v>193007</v>
      </c>
      <c r="N191">
        <v>225924</v>
      </c>
      <c r="O191">
        <v>259467</v>
      </c>
      <c r="P191">
        <v>284517</v>
      </c>
      <c r="Q191">
        <v>295240</v>
      </c>
      <c r="R191">
        <v>301449</v>
      </c>
      <c r="S191">
        <v>303684</v>
      </c>
    </row>
    <row r="192" spans="1:19" x14ac:dyDescent="0.35">
      <c r="B192" s="22" t="s">
        <v>12</v>
      </c>
      <c r="C192" s="23">
        <f>$C$19</f>
        <v>1.5</v>
      </c>
      <c r="E192" s="8"/>
      <c r="F192" s="8" t="s">
        <v>3</v>
      </c>
      <c r="G192" s="8">
        <v>119119</v>
      </c>
      <c r="H192" s="5">
        <v>136007</v>
      </c>
      <c r="I192" s="5">
        <v>161248</v>
      </c>
      <c r="J192">
        <v>200081</v>
      </c>
      <c r="K192">
        <v>256930</v>
      </c>
      <c r="L192">
        <v>328366</v>
      </c>
      <c r="M192">
        <v>387399</v>
      </c>
      <c r="N192">
        <v>434603</v>
      </c>
      <c r="O192">
        <v>474661</v>
      </c>
      <c r="P192">
        <v>487676</v>
      </c>
      <c r="Q192">
        <v>477788</v>
      </c>
      <c r="R192">
        <v>469393</v>
      </c>
      <c r="S192">
        <v>465912</v>
      </c>
    </row>
    <row r="193" spans="1:19" x14ac:dyDescent="0.35">
      <c r="B193" t="s">
        <v>16</v>
      </c>
      <c r="C193">
        <f>SQRT(LN(C192^2+1))</f>
        <v>1.085658784490618</v>
      </c>
      <c r="E193" s="29" t="s">
        <v>9</v>
      </c>
      <c r="F193" s="29" t="s">
        <v>0</v>
      </c>
      <c r="G193" s="29">
        <v>0.38</v>
      </c>
      <c r="H193" s="32">
        <v>0.23</v>
      </c>
      <c r="I193" s="32">
        <v>0.21</v>
      </c>
      <c r="J193" s="29">
        <v>0.04</v>
      </c>
      <c r="K193" s="29">
        <v>0.05</v>
      </c>
      <c r="L193" s="29">
        <v>0.06</v>
      </c>
      <c r="M193" s="29">
        <v>7.0000000000000007E-2</v>
      </c>
      <c r="N193" s="29">
        <v>0.08</v>
      </c>
      <c r="O193" s="29">
        <v>0.1</v>
      </c>
      <c r="P193" s="29">
        <v>0.14000000000000001</v>
      </c>
      <c r="Q193" s="29">
        <v>0.14000000000000001</v>
      </c>
      <c r="R193" s="29">
        <v>0.14000000000000001</v>
      </c>
      <c r="S193" s="29">
        <v>0.14000000000000001</v>
      </c>
    </row>
    <row r="194" spans="1:19" x14ac:dyDescent="0.35">
      <c r="A194" s="1"/>
      <c r="B194" t="s">
        <v>17</v>
      </c>
      <c r="C194" s="6">
        <f>IF(C191&gt;=1.5,0.49,IF(C191&lt;0.1,0,IF(C191&lt;1,-0.05+0.5*C191,0.08*(C191)+0.37)))</f>
        <v>0.42698105914186318</v>
      </c>
      <c r="E194" s="8"/>
      <c r="F194" s="8" t="s">
        <v>2</v>
      </c>
      <c r="G194" s="8">
        <v>0.19</v>
      </c>
      <c r="H194" s="5">
        <v>0.11</v>
      </c>
      <c r="I194" s="5">
        <v>0.09</v>
      </c>
      <c r="J194" s="8">
        <v>0.02</v>
      </c>
      <c r="K194" s="8">
        <v>0.02</v>
      </c>
      <c r="L194" s="8">
        <v>0.02</v>
      </c>
      <c r="M194" s="8">
        <v>0.02</v>
      </c>
      <c r="N194" s="8">
        <v>0.03</v>
      </c>
      <c r="O194" s="8">
        <v>0.04</v>
      </c>
      <c r="P194" s="8">
        <v>0.14000000000000001</v>
      </c>
      <c r="Q194" s="8">
        <v>0.14000000000000001</v>
      </c>
      <c r="R194" s="8">
        <v>0.14000000000000001</v>
      </c>
      <c r="S194" s="8">
        <v>0.14000000000000001</v>
      </c>
    </row>
    <row r="195" spans="1:19" x14ac:dyDescent="0.35">
      <c r="B195" s="1" t="s">
        <v>7</v>
      </c>
      <c r="C195" s="24">
        <f>_xlfn.LOGNORM.INV(C194,LN(C190),C193)</f>
        <v>18486.766162011616</v>
      </c>
      <c r="E195" s="8"/>
      <c r="F195" s="8" t="s">
        <v>27</v>
      </c>
      <c r="G195" s="8">
        <v>0.51</v>
      </c>
      <c r="H195" s="5">
        <v>0.33</v>
      </c>
      <c r="I195" s="5">
        <v>0.28999999999999998</v>
      </c>
      <c r="J195" s="5">
        <v>0.06</v>
      </c>
      <c r="K195" s="8">
        <v>7.0000000000000007E-2</v>
      </c>
      <c r="L195" s="8">
        <v>0.08</v>
      </c>
      <c r="M195" s="8">
        <v>0.09</v>
      </c>
      <c r="N195" s="8">
        <v>0.12</v>
      </c>
      <c r="O195" s="8">
        <v>0.14000000000000001</v>
      </c>
      <c r="P195" s="8">
        <v>0.14000000000000001</v>
      </c>
      <c r="Q195" s="8">
        <v>0.14000000000000001</v>
      </c>
      <c r="R195" s="8">
        <v>0.14000000000000001</v>
      </c>
      <c r="S195" s="8">
        <v>0.14000000000000001</v>
      </c>
    </row>
    <row r="196" spans="1:19" x14ac:dyDescent="0.35">
      <c r="B196" s="1" t="s">
        <v>18</v>
      </c>
      <c r="C196">
        <f>C195/C190</f>
        <v>0.81886809718336362</v>
      </c>
      <c r="E196" s="30"/>
      <c r="F196" s="30" t="s">
        <v>3</v>
      </c>
      <c r="G196" s="30">
        <v>0.89</v>
      </c>
      <c r="H196" s="37">
        <v>0.63</v>
      </c>
      <c r="I196" s="37">
        <v>0.54</v>
      </c>
      <c r="J196" s="30">
        <v>0.1</v>
      </c>
      <c r="K196" s="30">
        <v>0.1</v>
      </c>
      <c r="L196" s="30">
        <v>0.12</v>
      </c>
      <c r="M196" s="30">
        <v>0.14000000000000001</v>
      </c>
      <c r="N196" s="30">
        <v>0.17</v>
      </c>
      <c r="O196" s="30">
        <v>0.22</v>
      </c>
      <c r="P196" s="30">
        <v>0.14000000000000001</v>
      </c>
      <c r="Q196" s="30">
        <v>0.14000000000000001</v>
      </c>
      <c r="R196" s="30">
        <v>0.14000000000000001</v>
      </c>
      <c r="S196" s="30">
        <v>0.14000000000000001</v>
      </c>
    </row>
    <row r="197" spans="1:19" x14ac:dyDescent="0.35">
      <c r="B197" s="22"/>
      <c r="E197" s="8" t="s">
        <v>6</v>
      </c>
      <c r="F197" s="8" t="s">
        <v>0</v>
      </c>
      <c r="G197" s="8">
        <v>18014</v>
      </c>
      <c r="H197" s="5">
        <v>12220</v>
      </c>
      <c r="I197" s="5">
        <v>12055</v>
      </c>
      <c r="J197">
        <v>2976</v>
      </c>
      <c r="K197">
        <v>4168</v>
      </c>
      <c r="L197" s="22">
        <v>5879</v>
      </c>
      <c r="M197" s="22">
        <v>8127</v>
      </c>
      <c r="N197" s="22">
        <v>10978</v>
      </c>
      <c r="O197" s="22">
        <v>14519</v>
      </c>
      <c r="P197" s="9">
        <v>22576</v>
      </c>
      <c r="Q197">
        <v>23783</v>
      </c>
      <c r="R197">
        <v>24886</v>
      </c>
      <c r="S197">
        <v>25803</v>
      </c>
    </row>
    <row r="198" spans="1:19" x14ac:dyDescent="0.35">
      <c r="B198" s="39" t="s">
        <v>28</v>
      </c>
      <c r="C198" s="40">
        <f>ROUND(C195,0)</f>
        <v>18487</v>
      </c>
      <c r="E198" s="8"/>
      <c r="F198" s="8" t="s">
        <v>2</v>
      </c>
      <c r="G198" s="8">
        <v>18014</v>
      </c>
      <c r="H198" s="5">
        <v>12220</v>
      </c>
      <c r="I198" s="5">
        <v>12055</v>
      </c>
      <c r="J198">
        <v>2976</v>
      </c>
      <c r="K198">
        <v>4168</v>
      </c>
      <c r="L198">
        <v>5879</v>
      </c>
      <c r="M198">
        <v>8127</v>
      </c>
      <c r="N198">
        <v>10978</v>
      </c>
      <c r="O198">
        <v>14519</v>
      </c>
      <c r="P198">
        <v>9392</v>
      </c>
      <c r="Q198">
        <v>10065</v>
      </c>
      <c r="R198">
        <v>10725</v>
      </c>
      <c r="S198">
        <v>11425</v>
      </c>
    </row>
    <row r="199" spans="1:19" x14ac:dyDescent="0.35">
      <c r="B199" s="5"/>
      <c r="E199" s="8"/>
      <c r="F199" s="8" t="s">
        <v>27</v>
      </c>
      <c r="G199" s="8">
        <v>18014</v>
      </c>
      <c r="H199" s="5">
        <v>12220</v>
      </c>
      <c r="I199" s="5">
        <v>12055</v>
      </c>
      <c r="J199">
        <v>2976</v>
      </c>
      <c r="K199">
        <v>4168</v>
      </c>
      <c r="L199">
        <v>5879</v>
      </c>
      <c r="M199">
        <v>8127</v>
      </c>
      <c r="N199">
        <v>10978</v>
      </c>
      <c r="O199">
        <v>14519</v>
      </c>
      <c r="P199">
        <v>33970</v>
      </c>
      <c r="Q199">
        <v>35516</v>
      </c>
      <c r="R199">
        <v>36374</v>
      </c>
      <c r="S199">
        <v>36851</v>
      </c>
    </row>
    <row r="200" spans="1:19" x14ac:dyDescent="0.35">
      <c r="B200" s="5"/>
      <c r="E200" s="8"/>
      <c r="F200" s="8" t="s">
        <v>3</v>
      </c>
      <c r="G200" s="8">
        <v>18014</v>
      </c>
      <c r="H200" s="8">
        <v>12220</v>
      </c>
      <c r="I200" s="8">
        <v>12055</v>
      </c>
      <c r="J200">
        <v>2976</v>
      </c>
      <c r="K200">
        <v>4168</v>
      </c>
      <c r="L200">
        <v>5879</v>
      </c>
      <c r="M200">
        <v>8127</v>
      </c>
      <c r="N200">
        <v>10978</v>
      </c>
      <c r="O200">
        <v>14519</v>
      </c>
      <c r="P200">
        <v>59157</v>
      </c>
      <c r="Q200">
        <v>57972</v>
      </c>
      <c r="R200">
        <v>56833</v>
      </c>
      <c r="S200">
        <v>56314</v>
      </c>
    </row>
    <row r="201" spans="1:19" x14ac:dyDescent="0.35">
      <c r="B201" s="5"/>
      <c r="E201" s="29" t="s">
        <v>4</v>
      </c>
      <c r="F201" s="29" t="s">
        <v>0</v>
      </c>
      <c r="G201" s="29">
        <v>131006</v>
      </c>
      <c r="H201" s="29">
        <v>131990</v>
      </c>
      <c r="I201" s="29">
        <v>133111</v>
      </c>
      <c r="J201" s="29">
        <v>135596</v>
      </c>
      <c r="K201" s="29">
        <v>140878</v>
      </c>
      <c r="L201" s="29">
        <v>146126</v>
      </c>
      <c r="M201" s="29">
        <v>148298</v>
      </c>
      <c r="N201" s="29">
        <v>154567</v>
      </c>
      <c r="O201" s="29">
        <v>155296</v>
      </c>
      <c r="P201" s="29">
        <v>155429</v>
      </c>
      <c r="Q201" s="29">
        <v>155531</v>
      </c>
      <c r="R201" s="29">
        <v>158156</v>
      </c>
      <c r="S201" s="29">
        <v>160160</v>
      </c>
    </row>
    <row r="202" spans="1:19" x14ac:dyDescent="0.35">
      <c r="B202" s="5"/>
      <c r="E202" s="8"/>
      <c r="F202" s="8" t="s">
        <v>2</v>
      </c>
      <c r="G202" s="8">
        <v>26674</v>
      </c>
      <c r="H202" s="8">
        <v>26748</v>
      </c>
      <c r="I202" s="8">
        <v>26796</v>
      </c>
      <c r="J202" s="8">
        <v>26989</v>
      </c>
      <c r="K202" s="8">
        <v>27358</v>
      </c>
      <c r="L202" s="8">
        <v>29105</v>
      </c>
      <c r="M202" s="8">
        <v>30790</v>
      </c>
      <c r="N202" s="8">
        <v>31878</v>
      </c>
      <c r="O202" s="8">
        <v>32550</v>
      </c>
      <c r="P202" s="8">
        <v>32982</v>
      </c>
      <c r="Q202" s="8">
        <v>33705</v>
      </c>
      <c r="R202" s="8">
        <v>34042</v>
      </c>
      <c r="S202" s="8">
        <v>34508</v>
      </c>
    </row>
    <row r="203" spans="1:19" x14ac:dyDescent="0.35">
      <c r="B203" s="22"/>
      <c r="E203" s="8"/>
      <c r="F203" s="8" t="s">
        <v>27</v>
      </c>
      <c r="G203" s="8">
        <v>151002</v>
      </c>
      <c r="H203" s="8">
        <v>155867</v>
      </c>
      <c r="I203" s="8">
        <v>163702</v>
      </c>
      <c r="J203" s="8">
        <v>173979</v>
      </c>
      <c r="K203" s="8">
        <v>191139</v>
      </c>
      <c r="L203" s="8">
        <v>203019</v>
      </c>
      <c r="M203" s="8">
        <v>212910</v>
      </c>
      <c r="N203" s="8">
        <v>220208</v>
      </c>
      <c r="O203" s="8">
        <v>221845</v>
      </c>
      <c r="P203" s="8">
        <v>224822</v>
      </c>
      <c r="Q203" s="8">
        <v>225792</v>
      </c>
      <c r="R203" s="8">
        <v>226958</v>
      </c>
      <c r="S203" s="8">
        <v>227858</v>
      </c>
    </row>
    <row r="204" spans="1:19" x14ac:dyDescent="0.35">
      <c r="B204" s="22"/>
      <c r="E204" s="30"/>
      <c r="F204" s="30" t="s">
        <v>3</v>
      </c>
      <c r="G204" s="30">
        <v>350002</v>
      </c>
      <c r="H204" s="30">
        <v>367731</v>
      </c>
      <c r="I204" s="30">
        <v>376041</v>
      </c>
      <c r="J204" s="30">
        <v>476154</v>
      </c>
      <c r="K204" s="30">
        <v>573001</v>
      </c>
      <c r="L204" s="30">
        <v>775381</v>
      </c>
      <c r="M204" s="30">
        <v>900599</v>
      </c>
      <c r="N204" s="30">
        <v>980926</v>
      </c>
      <c r="O204" s="30">
        <v>990302</v>
      </c>
      <c r="P204" s="30">
        <v>1034602</v>
      </c>
      <c r="Q204" s="30">
        <v>1048922</v>
      </c>
      <c r="R204" s="30">
        <v>1077093</v>
      </c>
      <c r="S204" s="30">
        <v>1079773</v>
      </c>
    </row>
    <row r="205" spans="1:19" x14ac:dyDescent="0.35">
      <c r="B205" s="22"/>
      <c r="E205" s="8" t="s">
        <v>5</v>
      </c>
      <c r="F205" s="8" t="s">
        <v>0</v>
      </c>
      <c r="G205" s="8">
        <v>84112</v>
      </c>
      <c r="H205" s="8">
        <v>86380</v>
      </c>
      <c r="I205" s="8">
        <v>94862</v>
      </c>
      <c r="J205">
        <v>103876</v>
      </c>
      <c r="K205">
        <v>122521</v>
      </c>
      <c r="L205">
        <v>144966</v>
      </c>
      <c r="M205">
        <v>169566</v>
      </c>
      <c r="N205">
        <v>194555</v>
      </c>
      <c r="O205">
        <v>218160</v>
      </c>
      <c r="P205">
        <v>238711</v>
      </c>
      <c r="Q205">
        <v>250455</v>
      </c>
      <c r="R205">
        <v>260603</v>
      </c>
      <c r="S205">
        <v>269000</v>
      </c>
    </row>
    <row r="206" spans="1:19" x14ac:dyDescent="0.35">
      <c r="B206" s="22"/>
      <c r="E206" s="8"/>
      <c r="F206" s="8" t="s">
        <v>2</v>
      </c>
      <c r="G206" s="8">
        <v>44855</v>
      </c>
      <c r="H206" s="8">
        <v>42751</v>
      </c>
      <c r="I206" s="8">
        <v>47284</v>
      </c>
      <c r="J206">
        <v>52079</v>
      </c>
      <c r="K206">
        <v>66266</v>
      </c>
      <c r="L206">
        <v>78967</v>
      </c>
      <c r="M206">
        <v>88958</v>
      </c>
      <c r="N206">
        <v>96291</v>
      </c>
      <c r="O206">
        <v>100280</v>
      </c>
      <c r="P206">
        <v>101147</v>
      </c>
      <c r="Q206">
        <v>107825</v>
      </c>
      <c r="R206">
        <v>114766</v>
      </c>
      <c r="S206">
        <v>122038</v>
      </c>
    </row>
    <row r="207" spans="1:19" x14ac:dyDescent="0.35">
      <c r="B207" s="22"/>
      <c r="E207" s="8"/>
      <c r="F207" s="8" t="s">
        <v>27</v>
      </c>
      <c r="G207" s="8">
        <v>107092</v>
      </c>
      <c r="H207" s="8">
        <v>112274</v>
      </c>
      <c r="I207" s="8">
        <v>124403</v>
      </c>
      <c r="J207">
        <v>139888</v>
      </c>
      <c r="K207">
        <v>169945</v>
      </c>
      <c r="L207">
        <v>205888</v>
      </c>
      <c r="M207">
        <v>244898</v>
      </c>
      <c r="N207">
        <v>284278</v>
      </c>
      <c r="O207">
        <v>323538</v>
      </c>
      <c r="P207">
        <v>357012</v>
      </c>
      <c r="Q207">
        <v>367701</v>
      </c>
      <c r="R207">
        <v>373221</v>
      </c>
      <c r="S207">
        <v>376567</v>
      </c>
    </row>
    <row r="208" spans="1:19" x14ac:dyDescent="0.35">
      <c r="B208" s="22"/>
      <c r="E208" s="30"/>
      <c r="F208" s="30" t="s">
        <v>3</v>
      </c>
      <c r="G208" s="30">
        <v>151237</v>
      </c>
      <c r="H208" s="30">
        <v>174970</v>
      </c>
      <c r="I208" s="30">
        <v>211649</v>
      </c>
      <c r="J208" s="30">
        <v>262223</v>
      </c>
      <c r="K208" s="30">
        <v>329281</v>
      </c>
      <c r="L208" s="30">
        <v>394675</v>
      </c>
      <c r="M208" s="30">
        <v>452829</v>
      </c>
      <c r="N208" s="30">
        <v>503544</v>
      </c>
      <c r="O208" s="30">
        <v>549163</v>
      </c>
      <c r="P208" s="30">
        <v>584379</v>
      </c>
      <c r="Q208" s="30">
        <v>573154</v>
      </c>
      <c r="R208" s="30">
        <v>566550</v>
      </c>
      <c r="S208" s="30">
        <v>562731</v>
      </c>
    </row>
    <row r="211" spans="1:19" x14ac:dyDescent="0.35">
      <c r="A211" s="1">
        <f>A187+1</f>
        <v>2030</v>
      </c>
      <c r="B211" t="str">
        <f>CONCATENATE("(F = ",$B$5," in ",A211," onward)")</f>
        <v>(F = Frebuild in 2030 onward)</v>
      </c>
      <c r="F211" s="31"/>
      <c r="G211" s="27"/>
      <c r="H211" s="27"/>
    </row>
    <row r="212" spans="1:19" x14ac:dyDescent="0.35">
      <c r="B212" s="22"/>
      <c r="E212" s="30"/>
      <c r="F212" s="30"/>
      <c r="G212" s="30">
        <v>2020</v>
      </c>
      <c r="H212" s="30">
        <v>2021</v>
      </c>
      <c r="I212" s="30">
        <v>2022</v>
      </c>
      <c r="J212" s="30">
        <v>2023</v>
      </c>
      <c r="K212" s="30">
        <v>2024</v>
      </c>
      <c r="L212" s="30">
        <v>2025</v>
      </c>
      <c r="M212" s="30">
        <v>2026</v>
      </c>
      <c r="N212" s="30">
        <v>2027</v>
      </c>
      <c r="O212" s="30">
        <v>2028</v>
      </c>
      <c r="P212" s="30">
        <v>2029</v>
      </c>
      <c r="Q212" s="30">
        <v>2030</v>
      </c>
      <c r="R212" s="30">
        <v>2031</v>
      </c>
      <c r="S212" s="30">
        <v>2032</v>
      </c>
    </row>
    <row r="213" spans="1:19" x14ac:dyDescent="0.35">
      <c r="B213" t="s">
        <v>10</v>
      </c>
      <c r="C213" s="3">
        <f>HLOOKUP(($A211-1),G212:S213,2,FALSE)</f>
        <v>188964</v>
      </c>
      <c r="E213" s="8" t="s">
        <v>1</v>
      </c>
      <c r="F213" s="8" t="s">
        <v>0</v>
      </c>
      <c r="G213" s="8">
        <v>60294</v>
      </c>
      <c r="H213" s="5">
        <v>63619</v>
      </c>
      <c r="I213" s="5">
        <v>70768</v>
      </c>
      <c r="J213">
        <v>82832</v>
      </c>
      <c r="K213" s="22">
        <v>98752</v>
      </c>
      <c r="L213" s="22">
        <v>116414</v>
      </c>
      <c r="M213" s="22">
        <v>134870</v>
      </c>
      <c r="N213" s="22">
        <v>154147</v>
      </c>
      <c r="O213" s="22">
        <v>172753</v>
      </c>
      <c r="P213" s="9">
        <v>188964</v>
      </c>
      <c r="Q213">
        <v>201106</v>
      </c>
      <c r="R213">
        <v>209494</v>
      </c>
      <c r="S213">
        <v>215913</v>
      </c>
    </row>
    <row r="214" spans="1:19" x14ac:dyDescent="0.35">
      <c r="B214" t="s">
        <v>14</v>
      </c>
      <c r="C214" s="3">
        <f>HLOOKUP($A211,G212:S221,10,FALSE)</f>
        <v>24288</v>
      </c>
      <c r="E214" s="8"/>
      <c r="F214" s="8" t="s">
        <v>2</v>
      </c>
      <c r="G214" s="8">
        <v>25841</v>
      </c>
      <c r="H214" s="5">
        <v>24764</v>
      </c>
      <c r="I214" s="5">
        <v>29101</v>
      </c>
      <c r="J214">
        <v>37294</v>
      </c>
      <c r="K214">
        <v>49875</v>
      </c>
      <c r="L214">
        <v>60969</v>
      </c>
      <c r="M214">
        <v>69214</v>
      </c>
      <c r="N214">
        <v>74293</v>
      </c>
      <c r="O214">
        <v>76077</v>
      </c>
      <c r="P214">
        <v>74578</v>
      </c>
      <c r="Q214">
        <v>75724</v>
      </c>
      <c r="R214">
        <v>82120</v>
      </c>
      <c r="S214">
        <v>88306</v>
      </c>
    </row>
    <row r="215" spans="1:19" x14ac:dyDescent="0.35">
      <c r="B215" t="s">
        <v>15</v>
      </c>
      <c r="C215" s="22">
        <f>C213/$C$6</f>
        <v>1.0434811419736043</v>
      </c>
      <c r="E215" s="8"/>
      <c r="F215" s="8" t="s">
        <v>27</v>
      </c>
      <c r="G215" s="8">
        <v>80434</v>
      </c>
      <c r="H215" s="5">
        <v>86837</v>
      </c>
      <c r="I215" s="5">
        <v>95989</v>
      </c>
      <c r="J215">
        <v>112755</v>
      </c>
      <c r="K215">
        <v>136285</v>
      </c>
      <c r="L215">
        <v>163477</v>
      </c>
      <c r="M215">
        <v>193007</v>
      </c>
      <c r="N215">
        <v>225924</v>
      </c>
      <c r="O215">
        <v>259467</v>
      </c>
      <c r="P215">
        <v>290993</v>
      </c>
      <c r="Q215">
        <v>309434</v>
      </c>
      <c r="R215">
        <v>313087</v>
      </c>
      <c r="S215">
        <v>313003</v>
      </c>
    </row>
    <row r="216" spans="1:19" x14ac:dyDescent="0.35">
      <c r="B216" s="22" t="s">
        <v>12</v>
      </c>
      <c r="C216" s="23">
        <f>$C$19</f>
        <v>1.5</v>
      </c>
      <c r="E216" s="8"/>
      <c r="F216" s="8" t="s">
        <v>3</v>
      </c>
      <c r="G216" s="8">
        <v>119119</v>
      </c>
      <c r="H216" s="5">
        <v>136007</v>
      </c>
      <c r="I216" s="5">
        <v>161248</v>
      </c>
      <c r="J216">
        <v>200081</v>
      </c>
      <c r="K216">
        <v>256930</v>
      </c>
      <c r="L216">
        <v>328366</v>
      </c>
      <c r="M216">
        <v>387399</v>
      </c>
      <c r="N216">
        <v>434603</v>
      </c>
      <c r="O216">
        <v>474661</v>
      </c>
      <c r="P216">
        <v>504548</v>
      </c>
      <c r="Q216">
        <v>511740</v>
      </c>
      <c r="R216">
        <v>494051</v>
      </c>
      <c r="S216">
        <v>482357</v>
      </c>
    </row>
    <row r="217" spans="1:19" x14ac:dyDescent="0.35">
      <c r="B217" t="s">
        <v>16</v>
      </c>
      <c r="C217">
        <f>SQRT(LN(C216^2+1))</f>
        <v>1.085658784490618</v>
      </c>
      <c r="E217" s="29" t="s">
        <v>9</v>
      </c>
      <c r="F217" s="29" t="s">
        <v>0</v>
      </c>
      <c r="G217" s="29">
        <v>0.38</v>
      </c>
      <c r="H217" s="32">
        <v>0.23</v>
      </c>
      <c r="I217" s="32">
        <v>0.21</v>
      </c>
      <c r="J217" s="29">
        <v>0.04</v>
      </c>
      <c r="K217" s="29">
        <v>0.05</v>
      </c>
      <c r="L217" s="29">
        <v>0.06</v>
      </c>
      <c r="M217" s="29">
        <v>7.0000000000000007E-2</v>
      </c>
      <c r="N217" s="29">
        <v>0.08</v>
      </c>
      <c r="O217" s="29">
        <v>0.1</v>
      </c>
      <c r="P217" s="29">
        <v>0.11</v>
      </c>
      <c r="Q217" s="29">
        <v>0.14000000000000001</v>
      </c>
      <c r="R217" s="29">
        <v>0.14000000000000001</v>
      </c>
      <c r="S217" s="29">
        <v>0.14000000000000001</v>
      </c>
    </row>
    <row r="218" spans="1:19" x14ac:dyDescent="0.35">
      <c r="A218" s="1"/>
      <c r="B218" t="s">
        <v>17</v>
      </c>
      <c r="C218" s="6">
        <f>IF(C215&gt;=1.5,0.49,IF(C215&lt;0.1,0,IF(C215&lt;1,-0.05+0.5*C215,0.08*(C215)+0.37)))</f>
        <v>0.45347849135788831</v>
      </c>
      <c r="E218" s="8"/>
      <c r="F218" s="8" t="s">
        <v>2</v>
      </c>
      <c r="G218" s="8">
        <v>0.19</v>
      </c>
      <c r="H218" s="5">
        <v>0.11</v>
      </c>
      <c r="I218" s="5">
        <v>0.09</v>
      </c>
      <c r="J218" s="8">
        <v>0.02</v>
      </c>
      <c r="K218" s="8">
        <v>0.02</v>
      </c>
      <c r="L218" s="8">
        <v>0.02</v>
      </c>
      <c r="M218" s="8">
        <v>0.02</v>
      </c>
      <c r="N218" s="8">
        <v>0.03</v>
      </c>
      <c r="O218" s="8">
        <v>0.04</v>
      </c>
      <c r="P218" s="8">
        <v>0.04</v>
      </c>
      <c r="Q218" s="8">
        <v>0.14000000000000001</v>
      </c>
      <c r="R218" s="8">
        <v>0.14000000000000001</v>
      </c>
      <c r="S218" s="8">
        <v>0.14000000000000001</v>
      </c>
    </row>
    <row r="219" spans="1:19" x14ac:dyDescent="0.35">
      <c r="B219" s="1" t="s">
        <v>7</v>
      </c>
      <c r="C219" s="24">
        <f>_xlfn.LOGNORM.INV(C218,LN(C214),C217)</f>
        <v>21393.627924134762</v>
      </c>
      <c r="E219" s="8"/>
      <c r="F219" s="8" t="s">
        <v>27</v>
      </c>
      <c r="G219" s="8">
        <v>0.51</v>
      </c>
      <c r="H219" s="5">
        <v>0.33</v>
      </c>
      <c r="I219" s="5">
        <v>0.28999999999999998</v>
      </c>
      <c r="J219" s="5">
        <v>0.06</v>
      </c>
      <c r="K219" s="8">
        <v>7.0000000000000007E-2</v>
      </c>
      <c r="L219" s="8">
        <v>0.08</v>
      </c>
      <c r="M219" s="8">
        <v>0.09</v>
      </c>
      <c r="N219" s="8">
        <v>0.12</v>
      </c>
      <c r="O219" s="8">
        <v>0.14000000000000001</v>
      </c>
      <c r="P219" s="8">
        <v>0.17</v>
      </c>
      <c r="Q219" s="8">
        <v>0.14000000000000001</v>
      </c>
      <c r="R219" s="8">
        <v>0.14000000000000001</v>
      </c>
      <c r="S219" s="8">
        <v>0.14000000000000001</v>
      </c>
    </row>
    <row r="220" spans="1:19" x14ac:dyDescent="0.35">
      <c r="B220" s="1" t="s">
        <v>18</v>
      </c>
      <c r="C220">
        <f>C219/C214</f>
        <v>0.88083118923479753</v>
      </c>
      <c r="E220" s="30"/>
      <c r="F220" s="30" t="s">
        <v>3</v>
      </c>
      <c r="G220" s="30">
        <v>0.89</v>
      </c>
      <c r="H220" s="37">
        <v>0.63</v>
      </c>
      <c r="I220" s="37">
        <v>0.54</v>
      </c>
      <c r="J220" s="30">
        <v>0.1</v>
      </c>
      <c r="K220" s="30">
        <v>0.1</v>
      </c>
      <c r="L220" s="30">
        <v>0.12</v>
      </c>
      <c r="M220" s="30">
        <v>0.14000000000000001</v>
      </c>
      <c r="N220" s="30">
        <v>0.17</v>
      </c>
      <c r="O220" s="30">
        <v>0.22</v>
      </c>
      <c r="P220" s="30">
        <v>0.28999999999999998</v>
      </c>
      <c r="Q220" s="30">
        <v>0.14000000000000001</v>
      </c>
      <c r="R220" s="30">
        <v>0.14000000000000001</v>
      </c>
      <c r="S220" s="30">
        <v>0.14000000000000001</v>
      </c>
    </row>
    <row r="221" spans="1:19" x14ac:dyDescent="0.35">
      <c r="B221" s="22"/>
      <c r="E221" s="8" t="s">
        <v>6</v>
      </c>
      <c r="F221" s="8" t="s">
        <v>0</v>
      </c>
      <c r="G221" s="8">
        <v>18014</v>
      </c>
      <c r="H221" s="5">
        <v>12220</v>
      </c>
      <c r="I221" s="5">
        <v>12055</v>
      </c>
      <c r="J221">
        <v>2976</v>
      </c>
      <c r="K221">
        <v>4168</v>
      </c>
      <c r="L221" s="22">
        <v>5879</v>
      </c>
      <c r="M221" s="22">
        <v>8127</v>
      </c>
      <c r="N221" s="22">
        <v>10978</v>
      </c>
      <c r="O221" s="22">
        <v>14519</v>
      </c>
      <c r="P221" s="22">
        <v>18487</v>
      </c>
      <c r="Q221" s="9">
        <v>24288</v>
      </c>
      <c r="R221">
        <v>25367</v>
      </c>
      <c r="S221">
        <v>26230</v>
      </c>
    </row>
    <row r="222" spans="1:19" x14ac:dyDescent="0.35">
      <c r="B222" s="39" t="s">
        <v>28</v>
      </c>
      <c r="C222" s="40">
        <f>ROUND(C219,0)</f>
        <v>21394</v>
      </c>
      <c r="E222" s="8"/>
      <c r="F222" s="8" t="s">
        <v>2</v>
      </c>
      <c r="G222" s="8">
        <v>18014</v>
      </c>
      <c r="H222" s="5">
        <v>12220</v>
      </c>
      <c r="I222" s="5">
        <v>12055</v>
      </c>
      <c r="J222">
        <v>2976</v>
      </c>
      <c r="K222">
        <v>4168</v>
      </c>
      <c r="L222">
        <v>5879</v>
      </c>
      <c r="M222">
        <v>8127</v>
      </c>
      <c r="N222">
        <v>10978</v>
      </c>
      <c r="O222">
        <v>14519</v>
      </c>
      <c r="P222">
        <v>18487</v>
      </c>
      <c r="Q222">
        <v>9045</v>
      </c>
      <c r="R222">
        <v>9828</v>
      </c>
      <c r="S222">
        <v>10580</v>
      </c>
    </row>
    <row r="223" spans="1:19" x14ac:dyDescent="0.35">
      <c r="B223" s="5"/>
      <c r="E223" s="8"/>
      <c r="F223" s="8" t="s">
        <v>27</v>
      </c>
      <c r="G223" s="8">
        <v>18014</v>
      </c>
      <c r="H223" s="5">
        <v>12220</v>
      </c>
      <c r="I223" s="5">
        <v>12055</v>
      </c>
      <c r="J223">
        <v>2976</v>
      </c>
      <c r="K223">
        <v>4168</v>
      </c>
      <c r="L223">
        <v>5879</v>
      </c>
      <c r="M223">
        <v>8127</v>
      </c>
      <c r="N223">
        <v>10978</v>
      </c>
      <c r="O223">
        <v>14519</v>
      </c>
      <c r="P223">
        <v>18487</v>
      </c>
      <c r="Q223">
        <v>37285</v>
      </c>
      <c r="R223">
        <v>37912</v>
      </c>
      <c r="S223">
        <v>38047</v>
      </c>
    </row>
    <row r="224" spans="1:19" x14ac:dyDescent="0.35">
      <c r="B224" s="5"/>
      <c r="E224" s="8"/>
      <c r="F224" s="8" t="s">
        <v>3</v>
      </c>
      <c r="G224" s="8">
        <v>18014</v>
      </c>
      <c r="H224" s="8">
        <v>12220</v>
      </c>
      <c r="I224" s="8">
        <v>12055</v>
      </c>
      <c r="J224">
        <v>2976</v>
      </c>
      <c r="K224">
        <v>4168</v>
      </c>
      <c r="L224">
        <v>5879</v>
      </c>
      <c r="M224">
        <v>8127</v>
      </c>
      <c r="N224">
        <v>10978</v>
      </c>
      <c r="O224">
        <v>14519</v>
      </c>
      <c r="P224">
        <v>18487</v>
      </c>
      <c r="Q224">
        <v>62406</v>
      </c>
      <c r="R224">
        <v>60216</v>
      </c>
      <c r="S224">
        <v>58670</v>
      </c>
    </row>
    <row r="225" spans="1:19" x14ac:dyDescent="0.35">
      <c r="B225" s="5"/>
      <c r="E225" s="29" t="s">
        <v>4</v>
      </c>
      <c r="F225" s="29" t="s">
        <v>0</v>
      </c>
      <c r="G225" s="29">
        <v>131006</v>
      </c>
      <c r="H225" s="29">
        <v>131990</v>
      </c>
      <c r="I225" s="29">
        <v>133111</v>
      </c>
      <c r="J225" s="29">
        <v>135596</v>
      </c>
      <c r="K225" s="29">
        <v>140878</v>
      </c>
      <c r="L225" s="29">
        <v>146126</v>
      </c>
      <c r="M225" s="29">
        <v>148298</v>
      </c>
      <c r="N225" s="29">
        <v>154567</v>
      </c>
      <c r="O225" s="29">
        <v>155296</v>
      </c>
      <c r="P225" s="29">
        <v>155374</v>
      </c>
      <c r="Q225" s="29">
        <v>155430</v>
      </c>
      <c r="R225" s="29">
        <v>155524</v>
      </c>
      <c r="S225" s="29">
        <v>157238</v>
      </c>
    </row>
    <row r="226" spans="1:19" x14ac:dyDescent="0.35">
      <c r="B226" s="5"/>
      <c r="E226" s="8"/>
      <c r="F226" s="8" t="s">
        <v>2</v>
      </c>
      <c r="G226" s="8">
        <v>26674</v>
      </c>
      <c r="H226" s="8">
        <v>26748</v>
      </c>
      <c r="I226" s="8">
        <v>26796</v>
      </c>
      <c r="J226" s="8">
        <v>26989</v>
      </c>
      <c r="K226" s="8">
        <v>27358</v>
      </c>
      <c r="L226" s="8">
        <v>29105</v>
      </c>
      <c r="M226" s="8">
        <v>30790</v>
      </c>
      <c r="N226" s="8">
        <v>31878</v>
      </c>
      <c r="O226" s="8">
        <v>32550</v>
      </c>
      <c r="P226" s="8">
        <v>32699</v>
      </c>
      <c r="Q226" s="8">
        <v>33050</v>
      </c>
      <c r="R226" s="8">
        <v>33506</v>
      </c>
      <c r="S226" s="8">
        <v>34230</v>
      </c>
    </row>
    <row r="227" spans="1:19" x14ac:dyDescent="0.35">
      <c r="B227" s="22"/>
      <c r="E227" s="8"/>
      <c r="F227" s="8" t="s">
        <v>27</v>
      </c>
      <c r="G227" s="8">
        <v>151002</v>
      </c>
      <c r="H227" s="8">
        <v>155867</v>
      </c>
      <c r="I227" s="8">
        <v>163702</v>
      </c>
      <c r="J227" s="8">
        <v>173979</v>
      </c>
      <c r="K227" s="8">
        <v>191139</v>
      </c>
      <c r="L227" s="8">
        <v>203019</v>
      </c>
      <c r="M227" s="8">
        <v>212910</v>
      </c>
      <c r="N227" s="8">
        <v>220208</v>
      </c>
      <c r="O227" s="8">
        <v>221845</v>
      </c>
      <c r="P227" s="8">
        <v>223906</v>
      </c>
      <c r="Q227" s="8">
        <v>223945</v>
      </c>
      <c r="R227" s="8">
        <v>225650</v>
      </c>
      <c r="S227" s="8">
        <v>226794</v>
      </c>
    </row>
    <row r="228" spans="1:19" x14ac:dyDescent="0.35">
      <c r="B228" s="22"/>
      <c r="E228" s="30"/>
      <c r="F228" s="30" t="s">
        <v>3</v>
      </c>
      <c r="G228" s="30">
        <v>350002</v>
      </c>
      <c r="H228" s="30">
        <v>367731</v>
      </c>
      <c r="I228" s="30">
        <v>376041</v>
      </c>
      <c r="J228" s="30">
        <v>476154</v>
      </c>
      <c r="K228" s="30">
        <v>573001</v>
      </c>
      <c r="L228" s="30">
        <v>775381</v>
      </c>
      <c r="M228" s="30">
        <v>900599</v>
      </c>
      <c r="N228" s="30">
        <v>980926</v>
      </c>
      <c r="O228" s="30">
        <v>990302</v>
      </c>
      <c r="P228" s="30">
        <v>1021009</v>
      </c>
      <c r="Q228" s="30">
        <v>1022053</v>
      </c>
      <c r="R228" s="30">
        <v>1055223</v>
      </c>
      <c r="S228" s="30">
        <v>1063369</v>
      </c>
    </row>
    <row r="229" spans="1:19" x14ac:dyDescent="0.35">
      <c r="B229" s="22"/>
      <c r="E229" s="8" t="s">
        <v>5</v>
      </c>
      <c r="F229" s="8" t="s">
        <v>0</v>
      </c>
      <c r="G229" s="8">
        <v>84112</v>
      </c>
      <c r="H229" s="8">
        <v>86380</v>
      </c>
      <c r="I229" s="8">
        <v>94862</v>
      </c>
      <c r="J229">
        <v>103876</v>
      </c>
      <c r="K229">
        <v>122521</v>
      </c>
      <c r="L229">
        <v>144966</v>
      </c>
      <c r="M229">
        <v>169566</v>
      </c>
      <c r="N229">
        <v>194555</v>
      </c>
      <c r="O229">
        <v>218160</v>
      </c>
      <c r="P229">
        <v>238711</v>
      </c>
      <c r="Q229">
        <v>255527</v>
      </c>
      <c r="R229">
        <v>265105</v>
      </c>
      <c r="S229">
        <v>272600</v>
      </c>
    </row>
    <row r="230" spans="1:19" x14ac:dyDescent="0.35">
      <c r="B230" s="22"/>
      <c r="E230" s="8"/>
      <c r="F230" s="8" t="s">
        <v>2</v>
      </c>
      <c r="G230" s="8">
        <v>44855</v>
      </c>
      <c r="H230" s="8">
        <v>42751</v>
      </c>
      <c r="I230" s="8">
        <v>47284</v>
      </c>
      <c r="J230">
        <v>52079</v>
      </c>
      <c r="K230">
        <v>66266</v>
      </c>
      <c r="L230">
        <v>78967</v>
      </c>
      <c r="M230">
        <v>88958</v>
      </c>
      <c r="N230">
        <v>96291</v>
      </c>
      <c r="O230">
        <v>100280</v>
      </c>
      <c r="P230">
        <v>101147</v>
      </c>
      <c r="Q230">
        <v>98597</v>
      </c>
      <c r="R230">
        <v>106237</v>
      </c>
      <c r="S230">
        <v>113674</v>
      </c>
    </row>
    <row r="231" spans="1:19" x14ac:dyDescent="0.35">
      <c r="B231" s="22"/>
      <c r="E231" s="8"/>
      <c r="F231" s="8" t="s">
        <v>27</v>
      </c>
      <c r="G231" s="8">
        <v>107092</v>
      </c>
      <c r="H231" s="8">
        <v>112274</v>
      </c>
      <c r="I231" s="8">
        <v>124403</v>
      </c>
      <c r="J231">
        <v>139888</v>
      </c>
      <c r="K231">
        <v>169945</v>
      </c>
      <c r="L231">
        <v>205888</v>
      </c>
      <c r="M231">
        <v>244898</v>
      </c>
      <c r="N231">
        <v>284278</v>
      </c>
      <c r="O231">
        <v>323538</v>
      </c>
      <c r="P231">
        <v>357012</v>
      </c>
      <c r="Q231">
        <v>383058</v>
      </c>
      <c r="R231">
        <v>386421</v>
      </c>
      <c r="S231">
        <v>386113</v>
      </c>
    </row>
    <row r="232" spans="1:19" x14ac:dyDescent="0.35">
      <c r="B232" s="22"/>
      <c r="E232" s="30"/>
      <c r="F232" s="30" t="s">
        <v>3</v>
      </c>
      <c r="G232" s="30">
        <v>151237</v>
      </c>
      <c r="H232" s="30">
        <v>174970</v>
      </c>
      <c r="I232" s="30">
        <v>211649</v>
      </c>
      <c r="J232" s="30">
        <v>262223</v>
      </c>
      <c r="K232" s="30">
        <v>329281</v>
      </c>
      <c r="L232" s="30">
        <v>394675</v>
      </c>
      <c r="M232" s="30">
        <v>452829</v>
      </c>
      <c r="N232" s="30">
        <v>503544</v>
      </c>
      <c r="O232" s="30">
        <v>549163</v>
      </c>
      <c r="P232" s="30">
        <v>584379</v>
      </c>
      <c r="Q232" s="30">
        <v>610559</v>
      </c>
      <c r="R232" s="30">
        <v>593629</v>
      </c>
      <c r="S232" s="30">
        <v>580953</v>
      </c>
    </row>
    <row r="235" spans="1:19" x14ac:dyDescent="0.35">
      <c r="A235" s="1">
        <f>A211+1</f>
        <v>2031</v>
      </c>
      <c r="B235" t="str">
        <f>CONCATENATE("(F = ",$B$5," in ",A235," onward)")</f>
        <v>(F = Frebuild in 2031 onward)</v>
      </c>
      <c r="F235" s="31"/>
      <c r="G235" s="27"/>
      <c r="H235" s="27"/>
    </row>
    <row r="236" spans="1:19" x14ac:dyDescent="0.35">
      <c r="B236" s="22"/>
      <c r="E236" s="30"/>
      <c r="F236" s="30"/>
      <c r="G236" s="30">
        <v>2020</v>
      </c>
      <c r="H236" s="30">
        <v>2021</v>
      </c>
      <c r="I236" s="30">
        <v>2022</v>
      </c>
      <c r="J236" s="30">
        <v>2023</v>
      </c>
      <c r="K236" s="30">
        <v>2024</v>
      </c>
      <c r="L236" s="30">
        <v>2025</v>
      </c>
      <c r="M236" s="30">
        <v>2026</v>
      </c>
      <c r="N236" s="30">
        <v>2027</v>
      </c>
      <c r="O236" s="30">
        <v>2028</v>
      </c>
      <c r="P236" s="30">
        <v>2029</v>
      </c>
      <c r="Q236" s="30">
        <v>2030</v>
      </c>
      <c r="R236" s="30">
        <v>2031</v>
      </c>
      <c r="S236" s="30">
        <v>2032</v>
      </c>
    </row>
    <row r="237" spans="1:19" x14ac:dyDescent="0.35">
      <c r="B237" t="s">
        <v>10</v>
      </c>
      <c r="C237" s="3">
        <f>HLOOKUP(($A235-1),G236:S237,2,FALSE)</f>
        <v>202302</v>
      </c>
      <c r="E237" s="8" t="s">
        <v>1</v>
      </c>
      <c r="F237" s="8" t="s">
        <v>0</v>
      </c>
      <c r="G237" s="8">
        <v>60294</v>
      </c>
      <c r="H237" s="5">
        <v>63619</v>
      </c>
      <c r="I237" s="5">
        <v>70768</v>
      </c>
      <c r="J237">
        <v>82832</v>
      </c>
      <c r="K237" s="22">
        <v>98752</v>
      </c>
      <c r="L237" s="22">
        <v>116414</v>
      </c>
      <c r="M237" s="22">
        <v>134870</v>
      </c>
      <c r="N237" s="22">
        <v>154147</v>
      </c>
      <c r="O237" s="22">
        <v>172753</v>
      </c>
      <c r="P237" s="22">
        <v>188964</v>
      </c>
      <c r="Q237" s="9">
        <v>202302</v>
      </c>
      <c r="R237">
        <v>212518</v>
      </c>
      <c r="S237">
        <v>218858</v>
      </c>
    </row>
    <row r="238" spans="1:19" x14ac:dyDescent="0.35">
      <c r="B238" t="s">
        <v>14</v>
      </c>
      <c r="C238" s="3">
        <f>HLOOKUP($A235,G236:S245,10,FALSE)</f>
        <v>25732</v>
      </c>
      <c r="E238" s="8"/>
      <c r="F238" s="8" t="s">
        <v>2</v>
      </c>
      <c r="G238" s="8">
        <v>25841</v>
      </c>
      <c r="H238" s="5">
        <v>24764</v>
      </c>
      <c r="I238" s="5">
        <v>29101</v>
      </c>
      <c r="J238">
        <v>37294</v>
      </c>
      <c r="K238">
        <v>49875</v>
      </c>
      <c r="L238">
        <v>60969</v>
      </c>
      <c r="M238">
        <v>69214</v>
      </c>
      <c r="N238">
        <v>74293</v>
      </c>
      <c r="O238">
        <v>76077</v>
      </c>
      <c r="P238">
        <v>74578</v>
      </c>
      <c r="Q238">
        <v>70397</v>
      </c>
      <c r="R238">
        <v>71223</v>
      </c>
      <c r="S238">
        <v>78952</v>
      </c>
    </row>
    <row r="239" spans="1:19" x14ac:dyDescent="0.35">
      <c r="B239" t="s">
        <v>15</v>
      </c>
      <c r="C239" s="22">
        <f>C237/$C$6</f>
        <v>1.1171351261803524</v>
      </c>
      <c r="E239" s="8"/>
      <c r="F239" s="8" t="s">
        <v>27</v>
      </c>
      <c r="G239" s="8">
        <v>80434</v>
      </c>
      <c r="H239" s="5">
        <v>86837</v>
      </c>
      <c r="I239" s="5">
        <v>95989</v>
      </c>
      <c r="J239">
        <v>112755</v>
      </c>
      <c r="K239">
        <v>136285</v>
      </c>
      <c r="L239">
        <v>163477</v>
      </c>
      <c r="M239">
        <v>193007</v>
      </c>
      <c r="N239">
        <v>225924</v>
      </c>
      <c r="O239">
        <v>259467</v>
      </c>
      <c r="P239">
        <v>290993</v>
      </c>
      <c r="Q239">
        <v>316164</v>
      </c>
      <c r="R239">
        <v>327353</v>
      </c>
      <c r="S239">
        <v>324388</v>
      </c>
    </row>
    <row r="240" spans="1:19" x14ac:dyDescent="0.35">
      <c r="B240" s="22" t="s">
        <v>12</v>
      </c>
      <c r="C240" s="23">
        <f>$C$19</f>
        <v>1.5</v>
      </c>
      <c r="E240" s="8"/>
      <c r="F240" s="8" t="s">
        <v>3</v>
      </c>
      <c r="G240" s="8">
        <v>119119</v>
      </c>
      <c r="H240" s="5">
        <v>136007</v>
      </c>
      <c r="I240" s="5">
        <v>161248</v>
      </c>
      <c r="J240">
        <v>200081</v>
      </c>
      <c r="K240">
        <v>256930</v>
      </c>
      <c r="L240">
        <v>328366</v>
      </c>
      <c r="M240">
        <v>387399</v>
      </c>
      <c r="N240">
        <v>434603</v>
      </c>
      <c r="O240">
        <v>474661</v>
      </c>
      <c r="P240">
        <v>504548</v>
      </c>
      <c r="Q240">
        <v>528935</v>
      </c>
      <c r="R240">
        <v>528226</v>
      </c>
      <c r="S240">
        <v>506964</v>
      </c>
    </row>
    <row r="241" spans="1:19" x14ac:dyDescent="0.35">
      <c r="B241" t="s">
        <v>16</v>
      </c>
      <c r="C241">
        <f>SQRT(LN(C240^2+1))</f>
        <v>1.085658784490618</v>
      </c>
      <c r="E241" s="29" t="s">
        <v>9</v>
      </c>
      <c r="F241" s="29" t="s">
        <v>0</v>
      </c>
      <c r="G241" s="29">
        <v>0.38</v>
      </c>
      <c r="H241" s="32">
        <v>0.23</v>
      </c>
      <c r="I241" s="32">
        <v>0.21</v>
      </c>
      <c r="J241" s="29">
        <v>0.04</v>
      </c>
      <c r="K241" s="29">
        <v>0.05</v>
      </c>
      <c r="L241" s="29">
        <v>0.06</v>
      </c>
      <c r="M241" s="29">
        <v>7.0000000000000007E-2</v>
      </c>
      <c r="N241" s="29">
        <v>0.08</v>
      </c>
      <c r="O241" s="29">
        <v>0.1</v>
      </c>
      <c r="P241" s="29">
        <v>0.11</v>
      </c>
      <c r="Q241" s="29">
        <v>0.12</v>
      </c>
      <c r="R241" s="29">
        <v>0.14000000000000001</v>
      </c>
      <c r="S241" s="29">
        <v>0.14000000000000001</v>
      </c>
    </row>
    <row r="242" spans="1:19" x14ac:dyDescent="0.35">
      <c r="A242" s="1"/>
      <c r="B242" t="s">
        <v>17</v>
      </c>
      <c r="C242" s="6">
        <f>IF(C239&gt;=1.5,0.49,IF(C239&lt;0.1,0,IF(C239&lt;1,-0.05+0.5*C239,0.08*(C239)+0.37)))</f>
        <v>0.45937081009442821</v>
      </c>
      <c r="E242" s="8"/>
      <c r="F242" s="8" t="s">
        <v>2</v>
      </c>
      <c r="G242" s="8">
        <v>0.19</v>
      </c>
      <c r="H242" s="5">
        <v>0.11</v>
      </c>
      <c r="I242" s="5">
        <v>0.09</v>
      </c>
      <c r="J242" s="8">
        <v>0.02</v>
      </c>
      <c r="K242" s="8">
        <v>0.02</v>
      </c>
      <c r="L242" s="8">
        <v>0.02</v>
      </c>
      <c r="M242" s="8">
        <v>0.02</v>
      </c>
      <c r="N242" s="8">
        <v>0.03</v>
      </c>
      <c r="O242" s="8">
        <v>0.04</v>
      </c>
      <c r="P242" s="8">
        <v>0.04</v>
      </c>
      <c r="Q242" s="8">
        <v>0.05</v>
      </c>
      <c r="R242" s="8">
        <v>0.14000000000000001</v>
      </c>
      <c r="S242" s="8">
        <v>0.14000000000000001</v>
      </c>
    </row>
    <row r="243" spans="1:19" x14ac:dyDescent="0.35">
      <c r="B243" s="1" t="s">
        <v>7</v>
      </c>
      <c r="C243" s="24">
        <f>_xlfn.LOGNORM.INV(C242,LN(C238),C241)</f>
        <v>23034.142365686563</v>
      </c>
      <c r="E243" s="8"/>
      <c r="F243" s="8" t="s">
        <v>27</v>
      </c>
      <c r="G243" s="8">
        <v>0.51</v>
      </c>
      <c r="H243" s="5">
        <v>0.33</v>
      </c>
      <c r="I243" s="5">
        <v>0.28999999999999998</v>
      </c>
      <c r="J243" s="5">
        <v>0.06</v>
      </c>
      <c r="K243" s="8">
        <v>7.0000000000000007E-2</v>
      </c>
      <c r="L243" s="8">
        <v>0.08</v>
      </c>
      <c r="M243" s="8">
        <v>0.09</v>
      </c>
      <c r="N243" s="8">
        <v>0.12</v>
      </c>
      <c r="O243" s="8">
        <v>0.14000000000000001</v>
      </c>
      <c r="P243" s="8">
        <v>0.17</v>
      </c>
      <c r="Q243" s="8">
        <v>0.18</v>
      </c>
      <c r="R243" s="8">
        <v>0.14000000000000001</v>
      </c>
      <c r="S243" s="8">
        <v>0.14000000000000001</v>
      </c>
    </row>
    <row r="244" spans="1:19" x14ac:dyDescent="0.35">
      <c r="B244" s="1" t="s">
        <v>18</v>
      </c>
      <c r="C244">
        <f>C243/C238</f>
        <v>0.89515554040442102</v>
      </c>
      <c r="E244" s="30"/>
      <c r="F244" s="30" t="s">
        <v>3</v>
      </c>
      <c r="G244" s="30">
        <v>0.89</v>
      </c>
      <c r="H244" s="37">
        <v>0.63</v>
      </c>
      <c r="I244" s="37">
        <v>0.54</v>
      </c>
      <c r="J244" s="30">
        <v>0.1</v>
      </c>
      <c r="K244" s="30">
        <v>0.1</v>
      </c>
      <c r="L244" s="30">
        <v>0.12</v>
      </c>
      <c r="M244" s="30">
        <v>0.14000000000000001</v>
      </c>
      <c r="N244" s="30">
        <v>0.17</v>
      </c>
      <c r="O244" s="30">
        <v>0.22</v>
      </c>
      <c r="P244" s="30">
        <v>0.28999999999999998</v>
      </c>
      <c r="Q244" s="30">
        <v>0.36</v>
      </c>
      <c r="R244" s="30">
        <v>0.14000000000000001</v>
      </c>
      <c r="S244" s="30">
        <v>0.14000000000000001</v>
      </c>
    </row>
    <row r="245" spans="1:19" x14ac:dyDescent="0.35">
      <c r="B245" s="22"/>
      <c r="E245" s="8" t="s">
        <v>6</v>
      </c>
      <c r="F245" s="8" t="s">
        <v>0</v>
      </c>
      <c r="G245" s="8">
        <v>18014</v>
      </c>
      <c r="H245" s="5">
        <v>12220</v>
      </c>
      <c r="I245" s="5">
        <v>12055</v>
      </c>
      <c r="J245">
        <v>2976</v>
      </c>
      <c r="K245">
        <v>4168</v>
      </c>
      <c r="L245" s="22">
        <v>5879</v>
      </c>
      <c r="M245" s="22">
        <v>8127</v>
      </c>
      <c r="N245" s="22">
        <v>10978</v>
      </c>
      <c r="O245" s="22">
        <v>14519</v>
      </c>
      <c r="P245" s="22">
        <v>18487</v>
      </c>
      <c r="Q245" s="22">
        <v>21394</v>
      </c>
      <c r="R245" s="9">
        <v>25732</v>
      </c>
      <c r="S245">
        <v>26606</v>
      </c>
    </row>
    <row r="246" spans="1:19" x14ac:dyDescent="0.35">
      <c r="B246" s="39" t="s">
        <v>28</v>
      </c>
      <c r="C246" s="40">
        <f>ROUND(C243,0)</f>
        <v>23034</v>
      </c>
      <c r="E246" s="8"/>
      <c r="F246" s="8" t="s">
        <v>2</v>
      </c>
      <c r="G246" s="8">
        <v>18014</v>
      </c>
      <c r="H246" s="5">
        <v>12220</v>
      </c>
      <c r="I246" s="5">
        <v>12055</v>
      </c>
      <c r="J246">
        <v>2976</v>
      </c>
      <c r="K246">
        <v>4168</v>
      </c>
      <c r="L246">
        <v>5879</v>
      </c>
      <c r="M246">
        <v>8127</v>
      </c>
      <c r="N246">
        <v>10978</v>
      </c>
      <c r="O246">
        <v>14519</v>
      </c>
      <c r="P246">
        <v>18487</v>
      </c>
      <c r="Q246">
        <v>21394</v>
      </c>
      <c r="R246">
        <v>8449</v>
      </c>
      <c r="S246">
        <v>9371</v>
      </c>
    </row>
    <row r="247" spans="1:19" x14ac:dyDescent="0.35">
      <c r="B247" s="5"/>
      <c r="E247" s="8"/>
      <c r="F247" s="8" t="s">
        <v>27</v>
      </c>
      <c r="G247" s="8">
        <v>18014</v>
      </c>
      <c r="H247" s="5">
        <v>12220</v>
      </c>
      <c r="I247" s="5">
        <v>12055</v>
      </c>
      <c r="J247">
        <v>2976</v>
      </c>
      <c r="K247">
        <v>4168</v>
      </c>
      <c r="L247">
        <v>5879</v>
      </c>
      <c r="M247">
        <v>8127</v>
      </c>
      <c r="N247">
        <v>10978</v>
      </c>
      <c r="O247">
        <v>14519</v>
      </c>
      <c r="P247">
        <v>18487</v>
      </c>
      <c r="Q247">
        <v>21394</v>
      </c>
      <c r="R247">
        <v>39713</v>
      </c>
      <c r="S247">
        <v>39539</v>
      </c>
    </row>
    <row r="248" spans="1:19" x14ac:dyDescent="0.35">
      <c r="B248" s="5"/>
      <c r="E248" s="8"/>
      <c r="F248" s="8" t="s">
        <v>3</v>
      </c>
      <c r="G248" s="8">
        <v>18014</v>
      </c>
      <c r="H248" s="8">
        <v>12220</v>
      </c>
      <c r="I248" s="8">
        <v>12055</v>
      </c>
      <c r="J248">
        <v>2976</v>
      </c>
      <c r="K248">
        <v>4168</v>
      </c>
      <c r="L248">
        <v>5879</v>
      </c>
      <c r="M248">
        <v>8127</v>
      </c>
      <c r="N248">
        <v>10978</v>
      </c>
      <c r="O248">
        <v>14519</v>
      </c>
      <c r="P248">
        <v>18487</v>
      </c>
      <c r="Q248">
        <v>21394</v>
      </c>
      <c r="R248">
        <v>64777</v>
      </c>
      <c r="S248">
        <v>62036</v>
      </c>
    </row>
    <row r="249" spans="1:19" x14ac:dyDescent="0.35">
      <c r="B249" s="5"/>
      <c r="E249" s="29" t="s">
        <v>4</v>
      </c>
      <c r="F249" s="29" t="s">
        <v>0</v>
      </c>
      <c r="G249" s="29">
        <v>131006</v>
      </c>
      <c r="H249" s="29">
        <v>131990</v>
      </c>
      <c r="I249" s="29">
        <v>133111</v>
      </c>
      <c r="J249" s="29">
        <v>135596</v>
      </c>
      <c r="K249" s="29">
        <v>140878</v>
      </c>
      <c r="L249" s="29">
        <v>146126</v>
      </c>
      <c r="M249" s="29">
        <v>148298</v>
      </c>
      <c r="N249" s="29">
        <v>154567</v>
      </c>
      <c r="O249" s="29">
        <v>155296</v>
      </c>
      <c r="P249" s="29">
        <v>155374</v>
      </c>
      <c r="Q249" s="29">
        <v>155370</v>
      </c>
      <c r="R249" s="29">
        <v>155400</v>
      </c>
      <c r="S249" s="29">
        <v>155473</v>
      </c>
    </row>
    <row r="250" spans="1:19" x14ac:dyDescent="0.35">
      <c r="B250" s="5"/>
      <c r="E250" s="8"/>
      <c r="F250" s="8" t="s">
        <v>2</v>
      </c>
      <c r="G250" s="8">
        <v>26674</v>
      </c>
      <c r="H250" s="8">
        <v>26748</v>
      </c>
      <c r="I250" s="8">
        <v>26796</v>
      </c>
      <c r="J250" s="8">
        <v>26989</v>
      </c>
      <c r="K250" s="8">
        <v>27358</v>
      </c>
      <c r="L250" s="8">
        <v>29105</v>
      </c>
      <c r="M250" s="8">
        <v>30790</v>
      </c>
      <c r="N250" s="8">
        <v>31878</v>
      </c>
      <c r="O250" s="8">
        <v>32550</v>
      </c>
      <c r="P250" s="8">
        <v>32699</v>
      </c>
      <c r="Q250" s="8">
        <v>32707</v>
      </c>
      <c r="R250" s="8">
        <v>32793</v>
      </c>
      <c r="S250" s="8">
        <v>33460</v>
      </c>
    </row>
    <row r="251" spans="1:19" x14ac:dyDescent="0.35">
      <c r="B251" s="22"/>
      <c r="E251" s="8"/>
      <c r="F251" s="8" t="s">
        <v>27</v>
      </c>
      <c r="G251" s="8">
        <v>151002</v>
      </c>
      <c r="H251" s="8">
        <v>155867</v>
      </c>
      <c r="I251" s="8">
        <v>163702</v>
      </c>
      <c r="J251" s="8">
        <v>173979</v>
      </c>
      <c r="K251" s="8">
        <v>191139</v>
      </c>
      <c r="L251" s="8">
        <v>203019</v>
      </c>
      <c r="M251" s="8">
        <v>212910</v>
      </c>
      <c r="N251" s="8">
        <v>220208</v>
      </c>
      <c r="O251" s="8">
        <v>221845</v>
      </c>
      <c r="P251" s="8">
        <v>223906</v>
      </c>
      <c r="Q251" s="8">
        <v>223033</v>
      </c>
      <c r="R251" s="8">
        <v>223642</v>
      </c>
      <c r="S251" s="8">
        <v>225012</v>
      </c>
    </row>
    <row r="252" spans="1:19" x14ac:dyDescent="0.35">
      <c r="B252" s="22"/>
      <c r="E252" s="30"/>
      <c r="F252" s="30" t="s">
        <v>3</v>
      </c>
      <c r="G252" s="30">
        <v>350002</v>
      </c>
      <c r="H252" s="30">
        <v>367731</v>
      </c>
      <c r="I252" s="30">
        <v>376041</v>
      </c>
      <c r="J252" s="30">
        <v>476154</v>
      </c>
      <c r="K252" s="30">
        <v>573001</v>
      </c>
      <c r="L252" s="30">
        <v>775381</v>
      </c>
      <c r="M252" s="30">
        <v>900599</v>
      </c>
      <c r="N252" s="30">
        <v>980926</v>
      </c>
      <c r="O252" s="30">
        <v>990302</v>
      </c>
      <c r="P252" s="30">
        <v>1021009</v>
      </c>
      <c r="Q252" s="30">
        <v>1005848</v>
      </c>
      <c r="R252" s="30">
        <v>1025585</v>
      </c>
      <c r="S252" s="30">
        <v>1037688</v>
      </c>
    </row>
    <row r="253" spans="1:19" x14ac:dyDescent="0.35">
      <c r="B253" s="22"/>
      <c r="E253" s="8" t="s">
        <v>5</v>
      </c>
      <c r="F253" s="8" t="s">
        <v>0</v>
      </c>
      <c r="G253" s="8">
        <v>84112</v>
      </c>
      <c r="H253" s="8">
        <v>86380</v>
      </c>
      <c r="I253" s="8">
        <v>94862</v>
      </c>
      <c r="J253">
        <v>103876</v>
      </c>
      <c r="K253">
        <v>122521</v>
      </c>
      <c r="L253">
        <v>144966</v>
      </c>
      <c r="M253">
        <v>169566</v>
      </c>
      <c r="N253">
        <v>194555</v>
      </c>
      <c r="O253">
        <v>218160</v>
      </c>
      <c r="P253">
        <v>238711</v>
      </c>
      <c r="Q253">
        <v>255527</v>
      </c>
      <c r="R253">
        <v>269050</v>
      </c>
      <c r="S253">
        <v>276200</v>
      </c>
    </row>
    <row r="254" spans="1:19" x14ac:dyDescent="0.35">
      <c r="B254" s="22"/>
      <c r="E254" s="8"/>
      <c r="F254" s="8" t="s">
        <v>2</v>
      </c>
      <c r="G254" s="8">
        <v>44855</v>
      </c>
      <c r="H254" s="8">
        <v>42751</v>
      </c>
      <c r="I254" s="8">
        <v>47284</v>
      </c>
      <c r="J254">
        <v>52079</v>
      </c>
      <c r="K254">
        <v>66266</v>
      </c>
      <c r="L254">
        <v>78967</v>
      </c>
      <c r="M254">
        <v>88958</v>
      </c>
      <c r="N254">
        <v>96291</v>
      </c>
      <c r="O254">
        <v>100280</v>
      </c>
      <c r="P254">
        <v>101147</v>
      </c>
      <c r="Q254">
        <v>98597</v>
      </c>
      <c r="R254">
        <v>93629</v>
      </c>
      <c r="S254">
        <v>102468</v>
      </c>
    </row>
    <row r="255" spans="1:19" x14ac:dyDescent="0.35">
      <c r="B255" s="22"/>
      <c r="E255" s="8"/>
      <c r="F255" s="8" t="s">
        <v>27</v>
      </c>
      <c r="G255" s="8">
        <v>107092</v>
      </c>
      <c r="H255" s="8">
        <v>112274</v>
      </c>
      <c r="I255" s="8">
        <v>124403</v>
      </c>
      <c r="J255">
        <v>139888</v>
      </c>
      <c r="K255">
        <v>169945</v>
      </c>
      <c r="L255">
        <v>205888</v>
      </c>
      <c r="M255">
        <v>244898</v>
      </c>
      <c r="N255">
        <v>284278</v>
      </c>
      <c r="O255">
        <v>323538</v>
      </c>
      <c r="P255">
        <v>357012</v>
      </c>
      <c r="Q255">
        <v>383058</v>
      </c>
      <c r="R255">
        <v>402012</v>
      </c>
      <c r="S255">
        <v>398794</v>
      </c>
    </row>
    <row r="256" spans="1:19" x14ac:dyDescent="0.35">
      <c r="B256" s="22"/>
      <c r="E256" s="30"/>
      <c r="F256" s="30" t="s">
        <v>3</v>
      </c>
      <c r="G256" s="30">
        <v>151237</v>
      </c>
      <c r="H256" s="30">
        <v>174970</v>
      </c>
      <c r="I256" s="30">
        <v>211649</v>
      </c>
      <c r="J256" s="30">
        <v>262223</v>
      </c>
      <c r="K256" s="30">
        <v>329281</v>
      </c>
      <c r="L256" s="30">
        <v>394675</v>
      </c>
      <c r="M256" s="30">
        <v>452829</v>
      </c>
      <c r="N256" s="30">
        <v>503544</v>
      </c>
      <c r="O256" s="30">
        <v>549163</v>
      </c>
      <c r="P256" s="30">
        <v>584379</v>
      </c>
      <c r="Q256" s="30">
        <v>610559</v>
      </c>
      <c r="R256" s="30">
        <v>630948</v>
      </c>
      <c r="S256" s="30">
        <v>607763</v>
      </c>
    </row>
    <row r="259" spans="1:19" x14ac:dyDescent="0.35">
      <c r="A259" s="1">
        <f>A235+1</f>
        <v>2032</v>
      </c>
      <c r="B259" t="str">
        <f>CONCATENATE("(F = ",$B$5," in ",A259," onward)")</f>
        <v>(F = Frebuild in 2032 onward)</v>
      </c>
      <c r="F259" s="31"/>
      <c r="G259" s="27"/>
      <c r="H259" s="27"/>
    </row>
    <row r="260" spans="1:19" x14ac:dyDescent="0.35">
      <c r="B260" s="22"/>
      <c r="E260" s="30"/>
      <c r="F260" s="30"/>
      <c r="G260" s="30">
        <v>2020</v>
      </c>
      <c r="H260" s="30">
        <v>2021</v>
      </c>
      <c r="I260" s="30">
        <v>2022</v>
      </c>
      <c r="J260" s="30">
        <v>2023</v>
      </c>
      <c r="K260" s="30">
        <v>2024</v>
      </c>
      <c r="L260" s="30">
        <v>2025</v>
      </c>
      <c r="M260" s="30">
        <v>2026</v>
      </c>
      <c r="N260" s="30">
        <v>2027</v>
      </c>
      <c r="O260" s="30">
        <v>2028</v>
      </c>
      <c r="P260" s="30">
        <v>2029</v>
      </c>
      <c r="Q260" s="30">
        <v>2030</v>
      </c>
      <c r="R260" s="30">
        <v>2031</v>
      </c>
      <c r="S260" s="30">
        <v>2032</v>
      </c>
    </row>
    <row r="261" spans="1:19" x14ac:dyDescent="0.35">
      <c r="B261" t="s">
        <v>10</v>
      </c>
      <c r="C261" s="3">
        <f>HLOOKUP(($A259-1),G260:S261,2,FALSE)</f>
        <v>213674</v>
      </c>
      <c r="E261" s="8" t="s">
        <v>1</v>
      </c>
      <c r="F261" s="8" t="s">
        <v>0</v>
      </c>
      <c r="G261" s="8">
        <v>60294</v>
      </c>
      <c r="H261" s="5">
        <v>63619</v>
      </c>
      <c r="I261" s="5">
        <v>70768</v>
      </c>
      <c r="J261">
        <v>82832</v>
      </c>
      <c r="K261" s="22">
        <v>98752</v>
      </c>
      <c r="L261" s="22">
        <v>116414</v>
      </c>
      <c r="M261" s="22">
        <v>134870</v>
      </c>
      <c r="N261" s="22">
        <v>154147</v>
      </c>
      <c r="O261" s="22">
        <v>172753</v>
      </c>
      <c r="P261" s="22">
        <v>188964</v>
      </c>
      <c r="Q261" s="22">
        <v>202302</v>
      </c>
      <c r="R261" s="9">
        <v>213674</v>
      </c>
      <c r="S261">
        <v>221748</v>
      </c>
    </row>
    <row r="262" spans="1:19" x14ac:dyDescent="0.35">
      <c r="B262" t="s">
        <v>14</v>
      </c>
      <c r="C262" s="3">
        <f>HLOOKUP($A259,G260:S269,10,FALSE)</f>
        <v>26951</v>
      </c>
      <c r="E262" s="8"/>
      <c r="F262" s="8" t="s">
        <v>2</v>
      </c>
      <c r="G262" s="8">
        <v>25841</v>
      </c>
      <c r="H262" s="5">
        <v>24764</v>
      </c>
      <c r="I262" s="5">
        <v>29101</v>
      </c>
      <c r="J262">
        <v>37294</v>
      </c>
      <c r="K262">
        <v>49875</v>
      </c>
      <c r="L262">
        <v>60969</v>
      </c>
      <c r="M262">
        <v>69214</v>
      </c>
      <c r="N262">
        <v>74293</v>
      </c>
      <c r="O262">
        <v>76077</v>
      </c>
      <c r="P262">
        <v>74578</v>
      </c>
      <c r="Q262">
        <v>70397</v>
      </c>
      <c r="R262">
        <v>64866</v>
      </c>
      <c r="S262">
        <v>65989</v>
      </c>
    </row>
    <row r="263" spans="1:19" x14ac:dyDescent="0.35">
      <c r="B263" t="s">
        <v>15</v>
      </c>
      <c r="C263" s="22">
        <f>C261/$C$6</f>
        <v>1.1799326301838864</v>
      </c>
      <c r="E263" s="8"/>
      <c r="F263" s="8" t="s">
        <v>27</v>
      </c>
      <c r="G263" s="8">
        <v>80434</v>
      </c>
      <c r="H263" s="5">
        <v>86837</v>
      </c>
      <c r="I263" s="5">
        <v>95989</v>
      </c>
      <c r="J263">
        <v>112755</v>
      </c>
      <c r="K263">
        <v>136285</v>
      </c>
      <c r="L263">
        <v>163477</v>
      </c>
      <c r="M263">
        <v>193007</v>
      </c>
      <c r="N263">
        <v>225924</v>
      </c>
      <c r="O263">
        <v>259467</v>
      </c>
      <c r="P263">
        <v>290993</v>
      </c>
      <c r="Q263">
        <v>316164</v>
      </c>
      <c r="R263">
        <v>334362</v>
      </c>
      <c r="S263">
        <v>339237</v>
      </c>
    </row>
    <row r="264" spans="1:19" x14ac:dyDescent="0.35">
      <c r="B264" s="22" t="s">
        <v>12</v>
      </c>
      <c r="C264" s="23">
        <f>$C$19</f>
        <v>1.5</v>
      </c>
      <c r="E264" s="8"/>
      <c r="F264" s="8" t="s">
        <v>3</v>
      </c>
      <c r="G264" s="8">
        <v>119119</v>
      </c>
      <c r="H264" s="5">
        <v>136007</v>
      </c>
      <c r="I264" s="5">
        <v>161248</v>
      </c>
      <c r="J264">
        <v>200081</v>
      </c>
      <c r="K264">
        <v>256930</v>
      </c>
      <c r="L264">
        <v>328366</v>
      </c>
      <c r="M264">
        <v>387399</v>
      </c>
      <c r="N264">
        <v>434603</v>
      </c>
      <c r="O264">
        <v>474661</v>
      </c>
      <c r="P264">
        <v>504548</v>
      </c>
      <c r="Q264">
        <v>528935</v>
      </c>
      <c r="R264">
        <v>545818</v>
      </c>
      <c r="S264">
        <v>541474</v>
      </c>
    </row>
    <row r="265" spans="1:19" x14ac:dyDescent="0.35">
      <c r="B265" t="s">
        <v>16</v>
      </c>
      <c r="C265">
        <f>SQRT(LN(C264^2+1))</f>
        <v>1.085658784490618</v>
      </c>
      <c r="E265" s="29" t="s">
        <v>9</v>
      </c>
      <c r="F265" s="29" t="s">
        <v>0</v>
      </c>
      <c r="G265" s="29">
        <v>0.38</v>
      </c>
      <c r="H265" s="32">
        <v>0.23</v>
      </c>
      <c r="I265" s="32">
        <v>0.21</v>
      </c>
      <c r="J265" s="29">
        <v>0.04</v>
      </c>
      <c r="K265" s="29">
        <v>0.05</v>
      </c>
      <c r="L265" s="29">
        <v>0.06</v>
      </c>
      <c r="M265" s="29">
        <v>7.0000000000000007E-2</v>
      </c>
      <c r="N265" s="29">
        <v>0.08</v>
      </c>
      <c r="O265" s="29">
        <v>0.1</v>
      </c>
      <c r="P265" s="29">
        <v>0.11</v>
      </c>
      <c r="Q265" s="29">
        <v>0.12</v>
      </c>
      <c r="R265" s="29">
        <v>0.12</v>
      </c>
      <c r="S265" s="29">
        <v>0.14000000000000001</v>
      </c>
    </row>
    <row r="266" spans="1:19" x14ac:dyDescent="0.35">
      <c r="A266" s="1"/>
      <c r="B266" t="s">
        <v>17</v>
      </c>
      <c r="C266" s="6">
        <f>IF(C263&gt;=1.5,0.49,IF(C263&lt;0.1,0,IF(C263&lt;1,-0.05+0.5*C263,0.08*(C263)+0.37)))</f>
        <v>0.46439461041471092</v>
      </c>
      <c r="E266" s="8"/>
      <c r="F266" s="8" t="s">
        <v>2</v>
      </c>
      <c r="G266" s="8">
        <v>0.19</v>
      </c>
      <c r="H266" s="5">
        <v>0.11</v>
      </c>
      <c r="I266" s="5">
        <v>0.09</v>
      </c>
      <c r="J266" s="8">
        <v>0.02</v>
      </c>
      <c r="K266" s="8">
        <v>0.02</v>
      </c>
      <c r="L266" s="8">
        <v>0.02</v>
      </c>
      <c r="M266" s="8">
        <v>0.02</v>
      </c>
      <c r="N266" s="8">
        <v>0.03</v>
      </c>
      <c r="O266" s="8">
        <v>0.04</v>
      </c>
      <c r="P266" s="8">
        <v>0.04</v>
      </c>
      <c r="Q266" s="8">
        <v>0.05</v>
      </c>
      <c r="R266" s="8">
        <v>0.05</v>
      </c>
      <c r="S266" s="8">
        <v>0.14000000000000001</v>
      </c>
    </row>
    <row r="267" spans="1:19" x14ac:dyDescent="0.35">
      <c r="B267" s="1" t="s">
        <v>7</v>
      </c>
      <c r="C267" s="24">
        <f>_xlfn.LOGNORM.INV(C266,LN(C262),C265)</f>
        <v>24458.967794773285</v>
      </c>
      <c r="E267" s="8"/>
      <c r="F267" s="8" t="s">
        <v>27</v>
      </c>
      <c r="G267" s="8">
        <v>0.51</v>
      </c>
      <c r="H267" s="5">
        <v>0.33</v>
      </c>
      <c r="I267" s="5">
        <v>0.28999999999999998</v>
      </c>
      <c r="J267" s="5">
        <v>0.06</v>
      </c>
      <c r="K267" s="8">
        <v>7.0000000000000007E-2</v>
      </c>
      <c r="L267" s="8">
        <v>0.08</v>
      </c>
      <c r="M267" s="8">
        <v>0.09</v>
      </c>
      <c r="N267" s="8">
        <v>0.12</v>
      </c>
      <c r="O267" s="8">
        <v>0.14000000000000001</v>
      </c>
      <c r="P267" s="8">
        <v>0.17</v>
      </c>
      <c r="Q267" s="8">
        <v>0.18</v>
      </c>
      <c r="R267" s="8">
        <v>0.19</v>
      </c>
      <c r="S267" s="8">
        <v>0.14000000000000001</v>
      </c>
    </row>
    <row r="268" spans="1:19" x14ac:dyDescent="0.35">
      <c r="B268" s="1" t="s">
        <v>18</v>
      </c>
      <c r="C268">
        <f>C267/C262</f>
        <v>0.90753470352763477</v>
      </c>
      <c r="E268" s="30"/>
      <c r="F268" s="30" t="s">
        <v>3</v>
      </c>
      <c r="G268" s="30">
        <v>0.89</v>
      </c>
      <c r="H268" s="37">
        <v>0.63</v>
      </c>
      <c r="I268" s="37">
        <v>0.54</v>
      </c>
      <c r="J268" s="30">
        <v>0.1</v>
      </c>
      <c r="K268" s="30">
        <v>0.1</v>
      </c>
      <c r="L268" s="30">
        <v>0.12</v>
      </c>
      <c r="M268" s="30">
        <v>0.14000000000000001</v>
      </c>
      <c r="N268" s="30">
        <v>0.17</v>
      </c>
      <c r="O268" s="30">
        <v>0.22</v>
      </c>
      <c r="P268" s="30">
        <v>0.28999999999999998</v>
      </c>
      <c r="Q268" s="30">
        <v>0.36</v>
      </c>
      <c r="R268" s="30">
        <v>0.42</v>
      </c>
      <c r="S268" s="30">
        <v>0.14000000000000001</v>
      </c>
    </row>
    <row r="269" spans="1:19" x14ac:dyDescent="0.35">
      <c r="B269" s="22"/>
      <c r="E269" s="8" t="s">
        <v>6</v>
      </c>
      <c r="F269" s="8" t="s">
        <v>0</v>
      </c>
      <c r="G269" s="8">
        <v>18014</v>
      </c>
      <c r="H269" s="5">
        <v>12220</v>
      </c>
      <c r="I269" s="5">
        <v>12055</v>
      </c>
      <c r="J269">
        <v>2976</v>
      </c>
      <c r="K269">
        <v>4168</v>
      </c>
      <c r="L269" s="22">
        <v>5879</v>
      </c>
      <c r="M269" s="22">
        <v>8127</v>
      </c>
      <c r="N269" s="22">
        <v>10978</v>
      </c>
      <c r="O269" s="22">
        <v>14519</v>
      </c>
      <c r="P269" s="22">
        <v>18487</v>
      </c>
      <c r="Q269" s="22">
        <v>21394</v>
      </c>
      <c r="R269" s="22">
        <v>23034</v>
      </c>
      <c r="S269" s="9">
        <v>26951</v>
      </c>
    </row>
    <row r="270" spans="1:19" x14ac:dyDescent="0.35">
      <c r="B270" s="39" t="s">
        <v>28</v>
      </c>
      <c r="C270" s="40">
        <f>ROUND(C267,0)</f>
        <v>24459</v>
      </c>
      <c r="E270" s="8"/>
      <c r="F270" s="8" t="s">
        <v>2</v>
      </c>
      <c r="G270" s="8">
        <v>18014</v>
      </c>
      <c r="H270" s="5">
        <v>12220</v>
      </c>
      <c r="I270" s="5">
        <v>12055</v>
      </c>
      <c r="J270">
        <v>2976</v>
      </c>
      <c r="K270">
        <v>4168</v>
      </c>
      <c r="L270">
        <v>5879</v>
      </c>
      <c r="M270">
        <v>8127</v>
      </c>
      <c r="N270">
        <v>10978</v>
      </c>
      <c r="O270">
        <v>14519</v>
      </c>
      <c r="P270">
        <v>18487</v>
      </c>
      <c r="Q270">
        <v>21394</v>
      </c>
      <c r="R270">
        <v>23034</v>
      </c>
      <c r="S270">
        <v>7752</v>
      </c>
    </row>
    <row r="271" spans="1:19" x14ac:dyDescent="0.35">
      <c r="B271" s="5"/>
      <c r="E271" s="8"/>
      <c r="F271" s="8" t="s">
        <v>27</v>
      </c>
      <c r="G271" s="8">
        <v>18014</v>
      </c>
      <c r="H271" s="5">
        <v>12220</v>
      </c>
      <c r="I271" s="5">
        <v>12055</v>
      </c>
      <c r="J271">
        <v>2976</v>
      </c>
      <c r="K271">
        <v>4168</v>
      </c>
      <c r="L271">
        <v>5879</v>
      </c>
      <c r="M271">
        <v>8127</v>
      </c>
      <c r="N271">
        <v>10978</v>
      </c>
      <c r="O271">
        <v>14519</v>
      </c>
      <c r="P271">
        <v>18487</v>
      </c>
      <c r="Q271">
        <v>21394</v>
      </c>
      <c r="R271">
        <v>23034</v>
      </c>
      <c r="S271">
        <v>41433</v>
      </c>
    </row>
    <row r="272" spans="1:19" x14ac:dyDescent="0.35">
      <c r="B272" s="5"/>
      <c r="E272" s="8"/>
      <c r="F272" s="8" t="s">
        <v>3</v>
      </c>
      <c r="G272" s="8">
        <v>18014</v>
      </c>
      <c r="H272" s="8">
        <v>12220</v>
      </c>
      <c r="I272" s="8">
        <v>12055</v>
      </c>
      <c r="J272">
        <v>2976</v>
      </c>
      <c r="K272">
        <v>4168</v>
      </c>
      <c r="L272">
        <v>5879</v>
      </c>
      <c r="M272">
        <v>8127</v>
      </c>
      <c r="N272">
        <v>10978</v>
      </c>
      <c r="O272">
        <v>14519</v>
      </c>
      <c r="P272">
        <v>18487</v>
      </c>
      <c r="Q272">
        <v>21394</v>
      </c>
      <c r="R272">
        <v>23034</v>
      </c>
      <c r="S272">
        <v>66578</v>
      </c>
    </row>
    <row r="273" spans="1:19" x14ac:dyDescent="0.35">
      <c r="B273" s="5"/>
      <c r="E273" s="29" t="s">
        <v>4</v>
      </c>
      <c r="F273" s="29" t="s">
        <v>0</v>
      </c>
      <c r="G273" s="29">
        <v>131006</v>
      </c>
      <c r="H273" s="29">
        <v>131990</v>
      </c>
      <c r="I273" s="29">
        <v>133111</v>
      </c>
      <c r="J273" s="29">
        <v>135596</v>
      </c>
      <c r="K273" s="29">
        <v>140878</v>
      </c>
      <c r="L273" s="29">
        <v>146126</v>
      </c>
      <c r="M273" s="29">
        <v>148298</v>
      </c>
      <c r="N273" s="29">
        <v>154567</v>
      </c>
      <c r="O273" s="29">
        <v>155296</v>
      </c>
      <c r="P273" s="29">
        <v>155374</v>
      </c>
      <c r="Q273" s="29">
        <v>155370</v>
      </c>
      <c r="R273" s="29">
        <v>155338</v>
      </c>
      <c r="S273" s="29">
        <v>155356</v>
      </c>
    </row>
    <row r="274" spans="1:19" x14ac:dyDescent="0.35">
      <c r="B274" s="5"/>
      <c r="E274" s="8"/>
      <c r="F274" s="8" t="s">
        <v>2</v>
      </c>
      <c r="G274" s="8">
        <v>26674</v>
      </c>
      <c r="H274" s="8">
        <v>26748</v>
      </c>
      <c r="I274" s="8">
        <v>26796</v>
      </c>
      <c r="J274" s="8">
        <v>26989</v>
      </c>
      <c r="K274" s="8">
        <v>27358</v>
      </c>
      <c r="L274" s="8">
        <v>29105</v>
      </c>
      <c r="M274" s="8">
        <v>30790</v>
      </c>
      <c r="N274" s="8">
        <v>31878</v>
      </c>
      <c r="O274" s="8">
        <v>32550</v>
      </c>
      <c r="P274" s="8">
        <v>32699</v>
      </c>
      <c r="Q274" s="8">
        <v>32707</v>
      </c>
      <c r="R274" s="8">
        <v>32485</v>
      </c>
      <c r="S274" s="8">
        <v>32767</v>
      </c>
    </row>
    <row r="275" spans="1:19" x14ac:dyDescent="0.35">
      <c r="B275" s="22"/>
      <c r="E275" s="8"/>
      <c r="F275" s="8" t="s">
        <v>27</v>
      </c>
      <c r="G275" s="8">
        <v>151002</v>
      </c>
      <c r="H275" s="8">
        <v>155867</v>
      </c>
      <c r="I275" s="8">
        <v>163702</v>
      </c>
      <c r="J275" s="8">
        <v>173979</v>
      </c>
      <c r="K275" s="8">
        <v>191139</v>
      </c>
      <c r="L275" s="8">
        <v>203019</v>
      </c>
      <c r="M275" s="8">
        <v>212910</v>
      </c>
      <c r="N275" s="8">
        <v>220208</v>
      </c>
      <c r="O275" s="8">
        <v>221845</v>
      </c>
      <c r="P275" s="8">
        <v>223906</v>
      </c>
      <c r="Q275" s="8">
        <v>223033</v>
      </c>
      <c r="R275" s="8">
        <v>222732</v>
      </c>
      <c r="S275" s="8">
        <v>222957</v>
      </c>
    </row>
    <row r="276" spans="1:19" x14ac:dyDescent="0.35">
      <c r="B276" s="22"/>
      <c r="E276" s="30"/>
      <c r="F276" s="30" t="s">
        <v>3</v>
      </c>
      <c r="G276" s="30">
        <v>350002</v>
      </c>
      <c r="H276" s="30">
        <v>367731</v>
      </c>
      <c r="I276" s="30">
        <v>376041</v>
      </c>
      <c r="J276" s="30">
        <v>476154</v>
      </c>
      <c r="K276" s="30">
        <v>573001</v>
      </c>
      <c r="L276" s="30">
        <v>775381</v>
      </c>
      <c r="M276" s="30">
        <v>900599</v>
      </c>
      <c r="N276" s="30">
        <v>980926</v>
      </c>
      <c r="O276" s="30">
        <v>990302</v>
      </c>
      <c r="P276" s="30">
        <v>1021009</v>
      </c>
      <c r="Q276" s="30">
        <v>1005848</v>
      </c>
      <c r="R276" s="30">
        <v>1011610</v>
      </c>
      <c r="S276" s="30">
        <v>1008925</v>
      </c>
    </row>
    <row r="277" spans="1:19" x14ac:dyDescent="0.35">
      <c r="B277" s="22"/>
      <c r="E277" s="8" t="s">
        <v>5</v>
      </c>
      <c r="F277" s="8" t="s">
        <v>0</v>
      </c>
      <c r="G277" s="8">
        <v>84112</v>
      </c>
      <c r="H277" s="8">
        <v>86380</v>
      </c>
      <c r="I277" s="8">
        <v>94862</v>
      </c>
      <c r="J277">
        <v>103876</v>
      </c>
      <c r="K277">
        <v>122521</v>
      </c>
      <c r="L277">
        <v>144966</v>
      </c>
      <c r="M277">
        <v>169566</v>
      </c>
      <c r="N277">
        <v>194555</v>
      </c>
      <c r="O277">
        <v>218160</v>
      </c>
      <c r="P277">
        <v>238711</v>
      </c>
      <c r="Q277">
        <v>255527</v>
      </c>
      <c r="R277">
        <v>269050</v>
      </c>
      <c r="S277">
        <v>279891</v>
      </c>
    </row>
    <row r="278" spans="1:19" x14ac:dyDescent="0.35">
      <c r="B278" s="22"/>
      <c r="E278" s="8"/>
      <c r="F278" s="8" t="s">
        <v>2</v>
      </c>
      <c r="G278" s="8">
        <v>44855</v>
      </c>
      <c r="H278" s="8">
        <v>42751</v>
      </c>
      <c r="I278" s="8">
        <v>47284</v>
      </c>
      <c r="J278">
        <v>52079</v>
      </c>
      <c r="K278">
        <v>66266</v>
      </c>
      <c r="L278">
        <v>78967</v>
      </c>
      <c r="M278">
        <v>88958</v>
      </c>
      <c r="N278">
        <v>96291</v>
      </c>
      <c r="O278">
        <v>100280</v>
      </c>
      <c r="P278">
        <v>101147</v>
      </c>
      <c r="Q278">
        <v>98597</v>
      </c>
      <c r="R278">
        <v>93629</v>
      </c>
      <c r="S278">
        <v>87580</v>
      </c>
    </row>
    <row r="279" spans="1:19" x14ac:dyDescent="0.35">
      <c r="B279" s="22"/>
      <c r="E279" s="8"/>
      <c r="F279" s="8" t="s">
        <v>27</v>
      </c>
      <c r="G279" s="8">
        <v>107092</v>
      </c>
      <c r="H279" s="8">
        <v>112274</v>
      </c>
      <c r="I279" s="8">
        <v>124403</v>
      </c>
      <c r="J279">
        <v>139888</v>
      </c>
      <c r="K279">
        <v>169945</v>
      </c>
      <c r="L279">
        <v>205888</v>
      </c>
      <c r="M279">
        <v>244898</v>
      </c>
      <c r="N279">
        <v>284278</v>
      </c>
      <c r="O279">
        <v>323538</v>
      </c>
      <c r="P279">
        <v>357012</v>
      </c>
      <c r="Q279">
        <v>383058</v>
      </c>
      <c r="R279">
        <v>402012</v>
      </c>
      <c r="S279">
        <v>414924</v>
      </c>
    </row>
    <row r="280" spans="1:19" x14ac:dyDescent="0.35">
      <c r="B280" s="22"/>
      <c r="E280" s="30"/>
      <c r="F280" s="30" t="s">
        <v>3</v>
      </c>
      <c r="G280" s="30">
        <v>151237</v>
      </c>
      <c r="H280" s="30">
        <v>174970</v>
      </c>
      <c r="I280" s="30">
        <v>211649</v>
      </c>
      <c r="J280" s="30">
        <v>262223</v>
      </c>
      <c r="K280" s="30">
        <v>329281</v>
      </c>
      <c r="L280" s="30">
        <v>394675</v>
      </c>
      <c r="M280" s="30">
        <v>452829</v>
      </c>
      <c r="N280" s="30">
        <v>503544</v>
      </c>
      <c r="O280" s="30">
        <v>549163</v>
      </c>
      <c r="P280" s="30">
        <v>584379</v>
      </c>
      <c r="Q280" s="30">
        <v>610559</v>
      </c>
      <c r="R280" s="30">
        <v>630948</v>
      </c>
      <c r="S280" s="30">
        <v>645292</v>
      </c>
    </row>
    <row r="283" spans="1:19" x14ac:dyDescent="0.35">
      <c r="A283" s="1">
        <f>A259</f>
        <v>2032</v>
      </c>
      <c r="B283" s="2" t="s">
        <v>19</v>
      </c>
      <c r="C283" s="22"/>
      <c r="D283" s="22"/>
      <c r="E283" s="22"/>
      <c r="F283" s="56"/>
      <c r="G283" s="27"/>
      <c r="H283" s="27"/>
      <c r="I283" s="22"/>
      <c r="J283" s="22"/>
      <c r="K283" s="22"/>
      <c r="L283" s="22"/>
      <c r="M283" s="22"/>
    </row>
    <row r="284" spans="1:19" x14ac:dyDescent="0.35">
      <c r="B284" s="22"/>
      <c r="E284" s="30"/>
      <c r="F284" s="30"/>
      <c r="G284" s="30">
        <v>2020</v>
      </c>
      <c r="H284" s="30">
        <v>2021</v>
      </c>
      <c r="I284" s="30">
        <v>2022</v>
      </c>
      <c r="J284" s="30">
        <v>2023</v>
      </c>
      <c r="K284" s="30">
        <v>2024</v>
      </c>
      <c r="L284" s="30">
        <v>2025</v>
      </c>
      <c r="M284" s="30">
        <v>2026</v>
      </c>
      <c r="N284" s="30">
        <v>2027</v>
      </c>
      <c r="O284" s="30">
        <v>2028</v>
      </c>
      <c r="P284" s="30">
        <v>2029</v>
      </c>
      <c r="Q284" s="30">
        <v>2030</v>
      </c>
      <c r="R284" s="30">
        <v>2031</v>
      </c>
      <c r="S284" s="30">
        <v>2032</v>
      </c>
    </row>
    <row r="285" spans="1:19" x14ac:dyDescent="0.35">
      <c r="B285" t="s">
        <v>10</v>
      </c>
      <c r="C285" s="3">
        <f>HLOOKUP(($A283),G284:S285,2,FALSE)</f>
        <v>222817</v>
      </c>
      <c r="E285" s="8" t="s">
        <v>1</v>
      </c>
      <c r="F285" s="8" t="str">
        <f>F165</f>
        <v>Median</v>
      </c>
      <c r="G285" s="8">
        <v>60294</v>
      </c>
      <c r="H285" s="5">
        <v>63619</v>
      </c>
      <c r="I285" s="5">
        <v>70768</v>
      </c>
      <c r="J285">
        <v>82832</v>
      </c>
      <c r="K285" s="22">
        <v>98752</v>
      </c>
      <c r="L285" s="22">
        <v>116414</v>
      </c>
      <c r="M285" s="22">
        <v>134870</v>
      </c>
      <c r="N285" s="22">
        <v>154147</v>
      </c>
      <c r="O285" s="22">
        <v>172753</v>
      </c>
      <c r="P285" s="22">
        <v>188964</v>
      </c>
      <c r="Q285" s="22">
        <v>202302</v>
      </c>
      <c r="R285" s="22">
        <v>213674</v>
      </c>
      <c r="S285" s="9">
        <v>222817</v>
      </c>
    </row>
    <row r="286" spans="1:19" x14ac:dyDescent="0.35">
      <c r="B286" t="s">
        <v>15</v>
      </c>
      <c r="C286" s="22">
        <f>C285/$C$6</f>
        <v>1.2304213374565134</v>
      </c>
      <c r="E286" s="8"/>
      <c r="F286" s="8" t="str">
        <f t="shared" ref="F286:F304" si="5">F166</f>
        <v>5th Percentile</v>
      </c>
      <c r="G286" s="8">
        <v>25841</v>
      </c>
      <c r="H286" s="5">
        <v>24764</v>
      </c>
      <c r="I286" s="5">
        <v>29101</v>
      </c>
      <c r="J286">
        <v>37294</v>
      </c>
      <c r="K286">
        <v>49875</v>
      </c>
      <c r="L286">
        <v>60969</v>
      </c>
      <c r="M286">
        <v>69214</v>
      </c>
      <c r="N286">
        <v>74293</v>
      </c>
      <c r="O286">
        <v>76077</v>
      </c>
      <c r="P286">
        <v>74578</v>
      </c>
      <c r="Q286">
        <v>70397</v>
      </c>
      <c r="R286">
        <v>64866</v>
      </c>
      <c r="S286">
        <v>58604</v>
      </c>
    </row>
    <row r="287" spans="1:19" x14ac:dyDescent="0.35">
      <c r="B287" s="22"/>
      <c r="C287" s="23"/>
      <c r="E287" s="8"/>
      <c r="F287" s="8" t="str">
        <f t="shared" si="5"/>
        <v>75th Percentile</v>
      </c>
      <c r="G287" s="8">
        <v>80434</v>
      </c>
      <c r="H287" s="5">
        <v>86837</v>
      </c>
      <c r="I287" s="5">
        <v>95989</v>
      </c>
      <c r="J287">
        <v>112755</v>
      </c>
      <c r="K287">
        <v>136285</v>
      </c>
      <c r="L287">
        <v>163477</v>
      </c>
      <c r="M287">
        <v>193007</v>
      </c>
      <c r="N287">
        <v>225924</v>
      </c>
      <c r="O287">
        <v>259467</v>
      </c>
      <c r="P287">
        <v>290993</v>
      </c>
      <c r="Q287">
        <v>316164</v>
      </c>
      <c r="R287">
        <v>334362</v>
      </c>
      <c r="S287">
        <v>346430</v>
      </c>
    </row>
    <row r="288" spans="1:19" x14ac:dyDescent="0.35">
      <c r="B288" s="22"/>
      <c r="C288" s="22"/>
      <c r="E288" s="8"/>
      <c r="F288" s="8" t="str">
        <f t="shared" si="5"/>
        <v>95th Percentile</v>
      </c>
      <c r="G288" s="8">
        <v>119119</v>
      </c>
      <c r="H288" s="5">
        <v>136007</v>
      </c>
      <c r="I288" s="5">
        <v>161248</v>
      </c>
      <c r="J288">
        <v>200081</v>
      </c>
      <c r="K288">
        <v>256930</v>
      </c>
      <c r="L288">
        <v>328366</v>
      </c>
      <c r="M288">
        <v>387399</v>
      </c>
      <c r="N288">
        <v>434603</v>
      </c>
      <c r="O288">
        <v>474661</v>
      </c>
      <c r="P288">
        <v>504548</v>
      </c>
      <c r="Q288">
        <v>528935</v>
      </c>
      <c r="R288">
        <v>545818</v>
      </c>
      <c r="S288">
        <v>559009</v>
      </c>
    </row>
    <row r="289" spans="1:19" x14ac:dyDescent="0.35">
      <c r="B289" s="22"/>
      <c r="C289" s="22"/>
      <c r="E289" s="29" t="s">
        <v>9</v>
      </c>
      <c r="F289" s="29" t="str">
        <f t="shared" si="5"/>
        <v>Median</v>
      </c>
      <c r="G289" s="29">
        <v>0.38</v>
      </c>
      <c r="H289" s="32">
        <v>0.23</v>
      </c>
      <c r="I289" s="32">
        <v>0.21</v>
      </c>
      <c r="J289" s="29">
        <v>0.04</v>
      </c>
      <c r="K289" s="29">
        <v>0.05</v>
      </c>
      <c r="L289" s="29">
        <v>0.06</v>
      </c>
      <c r="M289" s="29">
        <v>7.0000000000000007E-2</v>
      </c>
      <c r="N289" s="29">
        <v>0.08</v>
      </c>
      <c r="O289" s="29">
        <v>0.1</v>
      </c>
      <c r="P289" s="29">
        <v>0.11</v>
      </c>
      <c r="Q289" s="29">
        <v>0.12</v>
      </c>
      <c r="R289" s="29">
        <v>0.12</v>
      </c>
      <c r="S289" s="29">
        <v>0.13</v>
      </c>
    </row>
    <row r="290" spans="1:19" x14ac:dyDescent="0.35">
      <c r="A290" s="1"/>
      <c r="B290" s="22"/>
      <c r="C290" s="28"/>
      <c r="E290" s="8"/>
      <c r="F290" s="8" t="str">
        <f t="shared" si="5"/>
        <v>5th Percentile</v>
      </c>
      <c r="G290" s="8">
        <v>0.19</v>
      </c>
      <c r="H290" s="5">
        <v>0.11</v>
      </c>
      <c r="I290" s="5">
        <v>0.09</v>
      </c>
      <c r="J290" s="8">
        <v>0.02</v>
      </c>
      <c r="K290" s="8">
        <v>0.02</v>
      </c>
      <c r="L290" s="8">
        <v>0.02</v>
      </c>
      <c r="M290" s="8">
        <v>0.02</v>
      </c>
      <c r="N290" s="8">
        <v>0.03</v>
      </c>
      <c r="O290" s="8">
        <v>0.04</v>
      </c>
      <c r="P290" s="8">
        <v>0.04</v>
      </c>
      <c r="Q290" s="8">
        <v>0.05</v>
      </c>
      <c r="R290" s="8">
        <v>0.05</v>
      </c>
      <c r="S290" s="8">
        <v>0.05</v>
      </c>
    </row>
    <row r="291" spans="1:19" x14ac:dyDescent="0.35">
      <c r="B291" s="38"/>
      <c r="C291" s="22"/>
      <c r="E291" s="8"/>
      <c r="F291" s="8" t="str">
        <f t="shared" si="5"/>
        <v>75th Percentile</v>
      </c>
      <c r="G291" s="8">
        <v>0.51</v>
      </c>
      <c r="H291" s="5">
        <v>0.33</v>
      </c>
      <c r="I291" s="5">
        <v>0.28999999999999998</v>
      </c>
      <c r="J291" s="5">
        <v>0.06</v>
      </c>
      <c r="K291" s="8">
        <v>7.0000000000000007E-2</v>
      </c>
      <c r="L291" s="8">
        <v>0.08</v>
      </c>
      <c r="M291" s="8">
        <v>0.09</v>
      </c>
      <c r="N291" s="8">
        <v>0.12</v>
      </c>
      <c r="O291" s="8">
        <v>0.14000000000000001</v>
      </c>
      <c r="P291" s="8">
        <v>0.17</v>
      </c>
      <c r="Q291" s="8">
        <v>0.18</v>
      </c>
      <c r="R291" s="8">
        <v>0.19</v>
      </c>
      <c r="S291" s="8">
        <v>0.2</v>
      </c>
    </row>
    <row r="292" spans="1:19" x14ac:dyDescent="0.35">
      <c r="B292" s="38"/>
      <c r="C292" s="22"/>
      <c r="E292" s="30"/>
      <c r="F292" s="30" t="str">
        <f t="shared" si="5"/>
        <v>95th Percentile</v>
      </c>
      <c r="G292" s="30">
        <v>0.89</v>
      </c>
      <c r="H292" s="37">
        <v>0.63</v>
      </c>
      <c r="I292" s="37">
        <v>0.54</v>
      </c>
      <c r="J292" s="30">
        <v>0.1</v>
      </c>
      <c r="K292" s="30">
        <v>0.1</v>
      </c>
      <c r="L292" s="30">
        <v>0.12</v>
      </c>
      <c r="M292" s="30">
        <v>0.14000000000000001</v>
      </c>
      <c r="N292" s="30">
        <v>0.17</v>
      </c>
      <c r="O292" s="30">
        <v>0.22</v>
      </c>
      <c r="P292" s="30">
        <v>0.28999999999999998</v>
      </c>
      <c r="Q292" s="30">
        <v>0.36</v>
      </c>
      <c r="R292" s="30">
        <v>0.42</v>
      </c>
      <c r="S292" s="30">
        <v>0.5</v>
      </c>
    </row>
    <row r="293" spans="1:19" x14ac:dyDescent="0.35">
      <c r="B293" s="22"/>
      <c r="E293" s="8" t="s">
        <v>6</v>
      </c>
      <c r="F293" s="8" t="str">
        <f t="shared" si="5"/>
        <v>Median</v>
      </c>
      <c r="G293" s="8">
        <v>18014</v>
      </c>
      <c r="H293" s="5">
        <v>12220</v>
      </c>
      <c r="I293" s="5">
        <v>12055</v>
      </c>
      <c r="J293">
        <v>2976</v>
      </c>
      <c r="K293">
        <v>4168</v>
      </c>
      <c r="L293" s="22">
        <v>5879</v>
      </c>
      <c r="M293" s="22">
        <v>8127</v>
      </c>
      <c r="N293" s="22">
        <v>10978</v>
      </c>
      <c r="O293" s="22">
        <v>14519</v>
      </c>
      <c r="P293" s="22">
        <v>18487</v>
      </c>
      <c r="Q293" s="22">
        <v>21394</v>
      </c>
      <c r="R293" s="22">
        <v>23034</v>
      </c>
      <c r="S293" s="22">
        <v>24459</v>
      </c>
    </row>
    <row r="294" spans="1:19" x14ac:dyDescent="0.35">
      <c r="B294" s="5"/>
      <c r="E294" s="8"/>
      <c r="F294" s="8" t="str">
        <f t="shared" si="5"/>
        <v>5th Percentile</v>
      </c>
      <c r="G294" s="8">
        <v>18014</v>
      </c>
      <c r="H294" s="5">
        <v>12220</v>
      </c>
      <c r="I294" s="5">
        <v>12055</v>
      </c>
      <c r="J294">
        <v>2976</v>
      </c>
      <c r="K294">
        <v>4168</v>
      </c>
      <c r="L294">
        <v>5879</v>
      </c>
      <c r="M294">
        <v>8127</v>
      </c>
      <c r="N294">
        <v>10978</v>
      </c>
      <c r="O294">
        <v>14519</v>
      </c>
      <c r="P294">
        <v>18487</v>
      </c>
      <c r="Q294">
        <v>21394</v>
      </c>
      <c r="R294">
        <v>23034</v>
      </c>
      <c r="S294">
        <v>24459</v>
      </c>
    </row>
    <row r="295" spans="1:19" x14ac:dyDescent="0.35">
      <c r="B295" s="5"/>
      <c r="E295" s="8"/>
      <c r="F295" s="8" t="str">
        <f t="shared" si="5"/>
        <v>75th Percentile</v>
      </c>
      <c r="G295" s="8">
        <v>18014</v>
      </c>
      <c r="H295" s="5">
        <v>12220</v>
      </c>
      <c r="I295" s="5">
        <v>12055</v>
      </c>
      <c r="J295">
        <v>2976</v>
      </c>
      <c r="K295">
        <v>4168</v>
      </c>
      <c r="L295">
        <v>5879</v>
      </c>
      <c r="M295">
        <v>8127</v>
      </c>
      <c r="N295">
        <v>10978</v>
      </c>
      <c r="O295">
        <v>14519</v>
      </c>
      <c r="P295">
        <v>18487</v>
      </c>
      <c r="Q295">
        <v>21394</v>
      </c>
      <c r="R295">
        <v>23034</v>
      </c>
      <c r="S295">
        <v>24459</v>
      </c>
    </row>
    <row r="296" spans="1:19" x14ac:dyDescent="0.35">
      <c r="B296" s="5"/>
      <c r="E296" s="8"/>
      <c r="F296" s="8" t="str">
        <f t="shared" si="5"/>
        <v>95th Percentile</v>
      </c>
      <c r="G296" s="8">
        <v>18014</v>
      </c>
      <c r="H296" s="8">
        <v>12220</v>
      </c>
      <c r="I296" s="8">
        <v>12055</v>
      </c>
      <c r="J296">
        <v>2976</v>
      </c>
      <c r="K296">
        <v>4168</v>
      </c>
      <c r="L296">
        <v>5879</v>
      </c>
      <c r="M296">
        <v>8127</v>
      </c>
      <c r="N296">
        <v>10978</v>
      </c>
      <c r="O296">
        <v>14519</v>
      </c>
      <c r="P296">
        <v>18487</v>
      </c>
      <c r="Q296">
        <v>21394</v>
      </c>
      <c r="R296">
        <v>23034</v>
      </c>
      <c r="S296">
        <v>24459</v>
      </c>
    </row>
    <row r="297" spans="1:19" x14ac:dyDescent="0.35">
      <c r="B297" s="5"/>
      <c r="E297" s="29" t="s">
        <v>4</v>
      </c>
      <c r="F297" s="29" t="str">
        <f t="shared" si="5"/>
        <v>Median</v>
      </c>
      <c r="G297" s="29">
        <v>131006</v>
      </c>
      <c r="H297" s="29">
        <v>131990</v>
      </c>
      <c r="I297" s="29">
        <v>133111</v>
      </c>
      <c r="J297" s="29">
        <v>135596</v>
      </c>
      <c r="K297" s="29">
        <v>140878</v>
      </c>
      <c r="L297" s="29">
        <v>146126</v>
      </c>
      <c r="M297" s="29">
        <v>148298</v>
      </c>
      <c r="N297" s="29">
        <v>154567</v>
      </c>
      <c r="O297" s="29">
        <v>155296</v>
      </c>
      <c r="P297" s="29">
        <v>155374</v>
      </c>
      <c r="Q297" s="29">
        <v>155370</v>
      </c>
      <c r="R297" s="29">
        <v>155338</v>
      </c>
      <c r="S297" s="29">
        <v>155298</v>
      </c>
    </row>
    <row r="298" spans="1:19" x14ac:dyDescent="0.35">
      <c r="B298" s="5"/>
      <c r="E298" s="8"/>
      <c r="F298" s="8" t="str">
        <f t="shared" si="5"/>
        <v>5th Percentile</v>
      </c>
      <c r="G298" s="8">
        <v>26674</v>
      </c>
      <c r="H298" s="8">
        <v>26748</v>
      </c>
      <c r="I298" s="8">
        <v>26796</v>
      </c>
      <c r="J298" s="8">
        <v>26989</v>
      </c>
      <c r="K298" s="8">
        <v>27358</v>
      </c>
      <c r="L298" s="8">
        <v>29105</v>
      </c>
      <c r="M298" s="8">
        <v>30790</v>
      </c>
      <c r="N298" s="8">
        <v>31878</v>
      </c>
      <c r="O298" s="8">
        <v>32550</v>
      </c>
      <c r="P298" s="8">
        <v>32699</v>
      </c>
      <c r="Q298" s="8">
        <v>32707</v>
      </c>
      <c r="R298" s="8">
        <v>32485</v>
      </c>
      <c r="S298" s="8">
        <v>32504</v>
      </c>
    </row>
    <row r="299" spans="1:19" x14ac:dyDescent="0.35">
      <c r="B299" s="22"/>
      <c r="E299" s="8"/>
      <c r="F299" s="8" t="str">
        <f t="shared" si="5"/>
        <v>75th Percentile</v>
      </c>
      <c r="G299" s="8">
        <v>151002</v>
      </c>
      <c r="H299" s="8">
        <v>155867</v>
      </c>
      <c r="I299" s="8">
        <v>163702</v>
      </c>
      <c r="J299" s="8">
        <v>173979</v>
      </c>
      <c r="K299" s="8">
        <v>191139</v>
      </c>
      <c r="L299" s="8">
        <v>203019</v>
      </c>
      <c r="M299" s="8">
        <v>212910</v>
      </c>
      <c r="N299" s="8">
        <v>220208</v>
      </c>
      <c r="O299" s="8">
        <v>221845</v>
      </c>
      <c r="P299" s="8">
        <v>223906</v>
      </c>
      <c r="Q299" s="8">
        <v>223033</v>
      </c>
      <c r="R299" s="8">
        <v>222732</v>
      </c>
      <c r="S299" s="8">
        <v>222163</v>
      </c>
    </row>
    <row r="300" spans="1:19" x14ac:dyDescent="0.35">
      <c r="B300" s="22"/>
      <c r="E300" s="30"/>
      <c r="F300" s="30" t="str">
        <f t="shared" si="5"/>
        <v>95th Percentile</v>
      </c>
      <c r="G300" s="30">
        <v>350002</v>
      </c>
      <c r="H300" s="30">
        <v>367731</v>
      </c>
      <c r="I300" s="30">
        <v>376041</v>
      </c>
      <c r="J300" s="30">
        <v>476154</v>
      </c>
      <c r="K300" s="30">
        <v>573001</v>
      </c>
      <c r="L300" s="30">
        <v>775381</v>
      </c>
      <c r="M300" s="30">
        <v>900599</v>
      </c>
      <c r="N300" s="30">
        <v>980926</v>
      </c>
      <c r="O300" s="30">
        <v>990302</v>
      </c>
      <c r="P300" s="30">
        <v>1021009</v>
      </c>
      <c r="Q300" s="30">
        <v>1005848</v>
      </c>
      <c r="R300" s="30">
        <v>1011610</v>
      </c>
      <c r="S300" s="30">
        <v>994203</v>
      </c>
    </row>
    <row r="301" spans="1:19" x14ac:dyDescent="0.35">
      <c r="B301" s="22"/>
      <c r="E301" s="8" t="s">
        <v>5</v>
      </c>
      <c r="F301" s="8" t="str">
        <f t="shared" si="5"/>
        <v>Median</v>
      </c>
      <c r="G301" s="8">
        <v>84112</v>
      </c>
      <c r="H301" s="8">
        <v>86380</v>
      </c>
      <c r="I301" s="8">
        <v>94862</v>
      </c>
      <c r="J301">
        <v>103876</v>
      </c>
      <c r="K301">
        <v>122521</v>
      </c>
      <c r="L301">
        <v>144966</v>
      </c>
      <c r="M301">
        <v>169566</v>
      </c>
      <c r="N301">
        <v>194555</v>
      </c>
      <c r="O301">
        <v>218160</v>
      </c>
      <c r="P301">
        <v>238711</v>
      </c>
      <c r="Q301">
        <v>255527</v>
      </c>
      <c r="R301">
        <v>269050</v>
      </c>
      <c r="S301">
        <v>279891</v>
      </c>
    </row>
    <row r="302" spans="1:19" x14ac:dyDescent="0.35">
      <c r="B302" s="22"/>
      <c r="E302" s="8"/>
      <c r="F302" s="8" t="str">
        <f t="shared" si="5"/>
        <v>5th Percentile</v>
      </c>
      <c r="G302" s="8">
        <v>44855</v>
      </c>
      <c r="H302" s="8">
        <v>42751</v>
      </c>
      <c r="I302" s="8">
        <v>47284</v>
      </c>
      <c r="J302">
        <v>52079</v>
      </c>
      <c r="K302">
        <v>66266</v>
      </c>
      <c r="L302">
        <v>78967</v>
      </c>
      <c r="M302">
        <v>88958</v>
      </c>
      <c r="N302">
        <v>96291</v>
      </c>
      <c r="O302">
        <v>100280</v>
      </c>
      <c r="P302">
        <v>101147</v>
      </c>
      <c r="Q302">
        <v>98597</v>
      </c>
      <c r="R302">
        <v>93629</v>
      </c>
      <c r="S302">
        <v>87580</v>
      </c>
    </row>
    <row r="303" spans="1:19" x14ac:dyDescent="0.35">
      <c r="B303" s="22"/>
      <c r="E303" s="8"/>
      <c r="F303" s="8" t="str">
        <f t="shared" si="5"/>
        <v>75th Percentile</v>
      </c>
      <c r="G303" s="8">
        <v>107092</v>
      </c>
      <c r="H303" s="8">
        <v>112274</v>
      </c>
      <c r="I303" s="8">
        <v>124403</v>
      </c>
      <c r="J303">
        <v>139888</v>
      </c>
      <c r="K303">
        <v>169945</v>
      </c>
      <c r="L303">
        <v>205888</v>
      </c>
      <c r="M303">
        <v>244898</v>
      </c>
      <c r="N303">
        <v>284278</v>
      </c>
      <c r="O303">
        <v>323538</v>
      </c>
      <c r="P303">
        <v>357012</v>
      </c>
      <c r="Q303">
        <v>383058</v>
      </c>
      <c r="R303">
        <v>402012</v>
      </c>
      <c r="S303">
        <v>414924</v>
      </c>
    </row>
    <row r="304" spans="1:19" x14ac:dyDescent="0.35">
      <c r="B304" s="22"/>
      <c r="E304" s="30"/>
      <c r="F304" s="30" t="str">
        <f t="shared" si="5"/>
        <v>95th Percentile</v>
      </c>
      <c r="G304" s="30">
        <v>151237</v>
      </c>
      <c r="H304" s="30">
        <v>174970</v>
      </c>
      <c r="I304" s="30">
        <v>211649</v>
      </c>
      <c r="J304" s="30">
        <v>262223</v>
      </c>
      <c r="K304" s="30">
        <v>329281</v>
      </c>
      <c r="L304" s="30">
        <v>394675</v>
      </c>
      <c r="M304" s="30">
        <v>452829</v>
      </c>
      <c r="N304" s="30">
        <v>503544</v>
      </c>
      <c r="O304" s="30">
        <v>549163</v>
      </c>
      <c r="P304" s="30">
        <v>584379</v>
      </c>
      <c r="Q304" s="30">
        <v>610559</v>
      </c>
      <c r="R304" s="30">
        <v>630948</v>
      </c>
      <c r="S304" s="30">
        <v>645292</v>
      </c>
    </row>
    <row r="311" spans="10:11" ht="14.5" customHeight="1" x14ac:dyDescent="0.35"/>
    <row r="316" spans="10:11" ht="16.5" customHeight="1" x14ac:dyDescent="0.35">
      <c r="J316" s="35"/>
      <c r="K316" s="33"/>
    </row>
    <row r="317" spans="10:11" ht="15" customHeight="1" x14ac:dyDescent="0.35">
      <c r="J317" s="3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7"/>
  <sheetViews>
    <sheetView zoomScaleNormal="100" workbookViewId="0"/>
  </sheetViews>
  <sheetFormatPr defaultRowHeight="14.5" x14ac:dyDescent="0.35"/>
  <cols>
    <col min="2" max="2" width="10.90625" customWidth="1"/>
    <col min="3" max="3" width="15" customWidth="1"/>
    <col min="5" max="5" width="9.1796875" customWidth="1"/>
    <col min="6" max="6" width="12.54296875" customWidth="1"/>
    <col min="7" max="8" width="10.1796875" style="22" customWidth="1"/>
  </cols>
  <sheetData>
    <row r="1" spans="1:8" x14ac:dyDescent="0.35">
      <c r="A1" s="1" t="s">
        <v>33</v>
      </c>
      <c r="B1" s="1"/>
    </row>
    <row r="2" spans="1:8" x14ac:dyDescent="0.35">
      <c r="A2" s="10"/>
      <c r="B2" s="1"/>
    </row>
    <row r="3" spans="1:8" x14ac:dyDescent="0.35">
      <c r="A3" s="2" t="s">
        <v>8</v>
      </c>
      <c r="B3" s="1"/>
    </row>
    <row r="4" spans="1:8" ht="15" thickBot="1" x14ac:dyDescent="0.4">
      <c r="A4" s="10"/>
      <c r="B4" s="1"/>
    </row>
    <row r="5" spans="1:8" x14ac:dyDescent="0.35">
      <c r="A5" s="10"/>
      <c r="B5" s="11" t="s">
        <v>32</v>
      </c>
      <c r="C5" s="12">
        <v>0.22</v>
      </c>
      <c r="E5" s="22"/>
      <c r="F5" s="22"/>
      <c r="G5"/>
      <c r="H5"/>
    </row>
    <row r="6" spans="1:8" ht="15" thickBot="1" x14ac:dyDescent="0.4">
      <c r="A6" s="10"/>
      <c r="B6" s="13" t="s">
        <v>10</v>
      </c>
      <c r="C6" s="14">
        <v>181090</v>
      </c>
      <c r="E6" s="22"/>
      <c r="F6" s="22"/>
      <c r="G6"/>
      <c r="H6"/>
    </row>
    <row r="7" spans="1:8" x14ac:dyDescent="0.35">
      <c r="A7" s="10"/>
      <c r="B7" s="10"/>
    </row>
    <row r="8" spans="1:8" x14ac:dyDescent="0.35">
      <c r="A8" s="10"/>
    </row>
    <row r="9" spans="1:8" x14ac:dyDescent="0.35">
      <c r="A9" s="2" t="s">
        <v>25</v>
      </c>
      <c r="B9" s="2"/>
    </row>
    <row r="10" spans="1:8" ht="15" thickBot="1" x14ac:dyDescent="0.4"/>
    <row r="11" spans="1:8" x14ac:dyDescent="0.35">
      <c r="B11" s="15"/>
      <c r="C11" s="12" t="s">
        <v>26</v>
      </c>
      <c r="E11" s="22"/>
      <c r="F11" s="22"/>
      <c r="G11"/>
      <c r="H11"/>
    </row>
    <row r="12" spans="1:8" x14ac:dyDescent="0.35">
      <c r="B12" s="16">
        <v>2020</v>
      </c>
      <c r="C12" s="17">
        <v>18037.8</v>
      </c>
      <c r="D12" s="7"/>
      <c r="E12" s="26"/>
      <c r="F12" s="26"/>
      <c r="G12" s="7"/>
      <c r="H12"/>
    </row>
    <row r="13" spans="1:8" x14ac:dyDescent="0.35">
      <c r="B13" s="16">
        <v>2021</v>
      </c>
      <c r="C13" s="17">
        <v>15512</v>
      </c>
      <c r="D13" s="7"/>
      <c r="E13" s="26"/>
      <c r="F13" s="26"/>
      <c r="G13" s="7"/>
      <c r="H13"/>
    </row>
    <row r="14" spans="1:8" ht="15" thickBot="1" x14ac:dyDescent="0.4">
      <c r="B14" s="18">
        <v>2022</v>
      </c>
      <c r="C14" s="19">
        <v>15512</v>
      </c>
      <c r="D14" s="7"/>
      <c r="E14" s="26"/>
      <c r="F14" s="26"/>
      <c r="G14" s="7"/>
      <c r="H14"/>
    </row>
    <row r="15" spans="1:8" x14ac:dyDescent="0.35">
      <c r="B15" s="4"/>
    </row>
    <row r="17" spans="1:9" x14ac:dyDescent="0.35">
      <c r="A17" s="2" t="s">
        <v>11</v>
      </c>
    </row>
    <row r="18" spans="1:9" ht="15" thickBot="1" x14ac:dyDescent="0.4"/>
    <row r="19" spans="1:9" ht="15" thickBot="1" x14ac:dyDescent="0.4">
      <c r="B19" s="20" t="s">
        <v>12</v>
      </c>
      <c r="C19" s="21">
        <v>1</v>
      </c>
    </row>
    <row r="20" spans="1:9" x14ac:dyDescent="0.35">
      <c r="D20" s="8"/>
      <c r="E20" s="25"/>
    </row>
    <row r="22" spans="1:9" x14ac:dyDescent="0.35">
      <c r="A22" s="34" t="s">
        <v>20</v>
      </c>
      <c r="B22" s="9"/>
    </row>
    <row r="23" spans="1:9" ht="15" thickBot="1" x14ac:dyDescent="0.4"/>
    <row r="24" spans="1:9" x14ac:dyDescent="0.35">
      <c r="B24" s="15" t="s">
        <v>21</v>
      </c>
      <c r="C24" s="41" t="s">
        <v>24</v>
      </c>
      <c r="D24" s="41" t="s">
        <v>14</v>
      </c>
      <c r="E24" s="41" t="s">
        <v>7</v>
      </c>
      <c r="F24" s="41" t="s">
        <v>22</v>
      </c>
      <c r="G24" s="42" t="s">
        <v>9</v>
      </c>
      <c r="H24" s="42" t="s">
        <v>10</v>
      </c>
      <c r="I24" s="43" t="s">
        <v>15</v>
      </c>
    </row>
    <row r="25" spans="1:9" x14ac:dyDescent="0.35">
      <c r="B25" s="16">
        <v>2020</v>
      </c>
      <c r="C25" s="5">
        <f t="shared" ref="C25:C37" si="0">HLOOKUP($B25,$G$284:$S$293,10,FALSE)</f>
        <v>0</v>
      </c>
      <c r="D25" s="5" t="s">
        <v>23</v>
      </c>
      <c r="E25" s="5" t="s">
        <v>23</v>
      </c>
      <c r="F25" s="5" t="s">
        <v>23</v>
      </c>
      <c r="G25" s="5">
        <f t="shared" ref="G25:G37" si="1">HLOOKUP($B25,$G$284:$S$289,6,FALSE)</f>
        <v>0</v>
      </c>
      <c r="H25" s="5">
        <f t="shared" ref="H25:H37" si="2">HLOOKUP($B25,$G$284:$S$285,2,FALSE)</f>
        <v>0</v>
      </c>
      <c r="I25" s="44">
        <f>H25/$C$6</f>
        <v>0</v>
      </c>
    </row>
    <row r="26" spans="1:9" x14ac:dyDescent="0.35">
      <c r="B26" s="16">
        <v>2021</v>
      </c>
      <c r="C26" s="5">
        <f t="shared" si="0"/>
        <v>0</v>
      </c>
      <c r="D26" s="5" t="s">
        <v>23</v>
      </c>
      <c r="E26" s="5" t="s">
        <v>23</v>
      </c>
      <c r="F26" s="5" t="s">
        <v>23</v>
      </c>
      <c r="G26" s="5">
        <f t="shared" si="1"/>
        <v>0</v>
      </c>
      <c r="H26" s="5">
        <f t="shared" si="2"/>
        <v>0</v>
      </c>
      <c r="I26" s="44">
        <f t="shared" ref="I26:I27" si="3">H26/$C$6</f>
        <v>0</v>
      </c>
    </row>
    <row r="27" spans="1:9" x14ac:dyDescent="0.35">
      <c r="B27" s="16">
        <v>2022</v>
      </c>
      <c r="C27" s="5">
        <f t="shared" si="0"/>
        <v>0</v>
      </c>
      <c r="D27" s="5" t="s">
        <v>23</v>
      </c>
      <c r="E27" s="5" t="s">
        <v>23</v>
      </c>
      <c r="F27" s="5" t="s">
        <v>23</v>
      </c>
      <c r="G27" s="5">
        <f t="shared" si="1"/>
        <v>0</v>
      </c>
      <c r="H27" s="5">
        <f t="shared" si="2"/>
        <v>0</v>
      </c>
      <c r="I27" s="44">
        <f t="shared" si="3"/>
        <v>0</v>
      </c>
    </row>
    <row r="28" spans="1:9" x14ac:dyDescent="0.35">
      <c r="B28" s="16">
        <v>2023</v>
      </c>
      <c r="C28" s="5">
        <f t="shared" si="0"/>
        <v>0</v>
      </c>
      <c r="D28" s="45">
        <f>C46</f>
        <v>0</v>
      </c>
      <c r="E28" s="45" t="e">
        <f>C51</f>
        <v>#NUM!</v>
      </c>
      <c r="F28" s="46">
        <f>C50</f>
        <v>0</v>
      </c>
      <c r="G28" s="5">
        <f t="shared" si="1"/>
        <v>0</v>
      </c>
      <c r="H28" s="5">
        <f t="shared" si="2"/>
        <v>0</v>
      </c>
      <c r="I28" s="44">
        <f>H28/$C$6</f>
        <v>0</v>
      </c>
    </row>
    <row r="29" spans="1:9" x14ac:dyDescent="0.35">
      <c r="B29" s="16">
        <v>2024</v>
      </c>
      <c r="C29" s="5">
        <f t="shared" si="0"/>
        <v>0</v>
      </c>
      <c r="D29" s="47">
        <f>C70</f>
        <v>0</v>
      </c>
      <c r="E29" s="8" t="e">
        <f>C75</f>
        <v>#NUM!</v>
      </c>
      <c r="F29" s="48">
        <f>C74</f>
        <v>0</v>
      </c>
      <c r="G29" s="5">
        <f t="shared" si="1"/>
        <v>0</v>
      </c>
      <c r="H29" s="5">
        <f t="shared" si="2"/>
        <v>0</v>
      </c>
      <c r="I29" s="44">
        <f t="shared" ref="I29:I37" si="4">H29/$C$6</f>
        <v>0</v>
      </c>
    </row>
    <row r="30" spans="1:9" x14ac:dyDescent="0.35">
      <c r="B30" s="16">
        <v>2025</v>
      </c>
      <c r="C30" s="5">
        <f t="shared" si="0"/>
        <v>0</v>
      </c>
      <c r="D30" s="49">
        <f>C94</f>
        <v>0</v>
      </c>
      <c r="E30" s="49" t="e">
        <f>C99</f>
        <v>#NUM!</v>
      </c>
      <c r="F30" s="50">
        <f>C98</f>
        <v>0</v>
      </c>
      <c r="G30" s="5">
        <f t="shared" si="1"/>
        <v>0</v>
      </c>
      <c r="H30" s="5">
        <f t="shared" si="2"/>
        <v>0</v>
      </c>
      <c r="I30" s="44">
        <f t="shared" si="4"/>
        <v>0</v>
      </c>
    </row>
    <row r="31" spans="1:9" x14ac:dyDescent="0.35">
      <c r="B31" s="16">
        <v>2026</v>
      </c>
      <c r="C31" s="5">
        <f t="shared" si="0"/>
        <v>0</v>
      </c>
      <c r="D31" s="51">
        <f>C118</f>
        <v>0</v>
      </c>
      <c r="E31" s="49" t="e">
        <f>C123</f>
        <v>#NUM!</v>
      </c>
      <c r="F31" s="50">
        <f>C122</f>
        <v>0</v>
      </c>
      <c r="G31" s="5">
        <f t="shared" si="1"/>
        <v>0</v>
      </c>
      <c r="H31" s="5">
        <f t="shared" si="2"/>
        <v>0</v>
      </c>
      <c r="I31" s="44">
        <f t="shared" si="4"/>
        <v>0</v>
      </c>
    </row>
    <row r="32" spans="1:9" x14ac:dyDescent="0.35">
      <c r="B32" s="63">
        <v>2027</v>
      </c>
      <c r="C32" s="5">
        <f t="shared" si="0"/>
        <v>0</v>
      </c>
      <c r="D32" s="60">
        <f>C142</f>
        <v>0</v>
      </c>
      <c r="E32" s="61" t="e">
        <f>C147</f>
        <v>#NUM!</v>
      </c>
      <c r="F32" s="62">
        <f>C146</f>
        <v>0</v>
      </c>
      <c r="G32" s="5">
        <f t="shared" si="1"/>
        <v>0</v>
      </c>
      <c r="H32" s="5">
        <f t="shared" si="2"/>
        <v>0</v>
      </c>
      <c r="I32" s="64">
        <f t="shared" si="4"/>
        <v>0</v>
      </c>
    </row>
    <row r="33" spans="1:19" x14ac:dyDescent="0.35">
      <c r="B33" s="16">
        <v>2028</v>
      </c>
      <c r="C33" s="5">
        <f t="shared" si="0"/>
        <v>0</v>
      </c>
      <c r="D33" s="57">
        <f>C166</f>
        <v>0</v>
      </c>
      <c r="E33" s="58" t="e">
        <f>C171</f>
        <v>#NUM!</v>
      </c>
      <c r="F33" s="59">
        <f>C170</f>
        <v>0</v>
      </c>
      <c r="G33" s="5">
        <f t="shared" si="1"/>
        <v>0</v>
      </c>
      <c r="H33" s="5">
        <f t="shared" si="2"/>
        <v>0</v>
      </c>
      <c r="I33" s="44">
        <f t="shared" si="4"/>
        <v>0</v>
      </c>
    </row>
    <row r="34" spans="1:19" x14ac:dyDescent="0.35">
      <c r="B34" s="16">
        <v>2029</v>
      </c>
      <c r="C34" s="5">
        <f t="shared" si="0"/>
        <v>0</v>
      </c>
      <c r="D34" s="57">
        <f>C190</f>
        <v>0</v>
      </c>
      <c r="E34" s="58" t="e">
        <f>C195</f>
        <v>#NUM!</v>
      </c>
      <c r="F34" s="59">
        <f>C194</f>
        <v>0</v>
      </c>
      <c r="G34" s="5">
        <f t="shared" si="1"/>
        <v>0</v>
      </c>
      <c r="H34" s="5">
        <f t="shared" si="2"/>
        <v>0</v>
      </c>
      <c r="I34" s="44">
        <f t="shared" si="4"/>
        <v>0</v>
      </c>
    </row>
    <row r="35" spans="1:19" x14ac:dyDescent="0.35">
      <c r="B35" s="16">
        <v>2030</v>
      </c>
      <c r="C35" s="5">
        <f t="shared" si="0"/>
        <v>0</v>
      </c>
      <c r="D35" s="57">
        <f>C214</f>
        <v>0</v>
      </c>
      <c r="E35" s="58" t="e">
        <f>C219</f>
        <v>#NUM!</v>
      </c>
      <c r="F35" s="59">
        <f>C218</f>
        <v>0</v>
      </c>
      <c r="G35" s="5">
        <f t="shared" si="1"/>
        <v>0</v>
      </c>
      <c r="H35" s="5">
        <f t="shared" si="2"/>
        <v>0</v>
      </c>
      <c r="I35" s="44">
        <f t="shared" si="4"/>
        <v>0</v>
      </c>
    </row>
    <row r="36" spans="1:19" x14ac:dyDescent="0.35">
      <c r="B36" s="16">
        <v>2031</v>
      </c>
      <c r="C36" s="5">
        <f t="shared" si="0"/>
        <v>0</v>
      </c>
      <c r="D36" s="57">
        <f>C238</f>
        <v>0</v>
      </c>
      <c r="E36" s="58" t="e">
        <f>C243</f>
        <v>#NUM!</v>
      </c>
      <c r="F36" s="59">
        <f>C242</f>
        <v>0</v>
      </c>
      <c r="G36" s="5">
        <f t="shared" si="1"/>
        <v>0</v>
      </c>
      <c r="H36" s="5">
        <f t="shared" si="2"/>
        <v>0</v>
      </c>
      <c r="I36" s="44">
        <f t="shared" si="4"/>
        <v>0</v>
      </c>
    </row>
    <row r="37" spans="1:19" ht="15" thickBot="1" x14ac:dyDescent="0.4">
      <c r="B37" s="18">
        <v>2032</v>
      </c>
      <c r="C37" s="52">
        <f t="shared" si="0"/>
        <v>0</v>
      </c>
      <c r="D37" s="53">
        <f>C262</f>
        <v>0</v>
      </c>
      <c r="E37" s="54" t="e">
        <f>C267</f>
        <v>#NUM!</v>
      </c>
      <c r="F37" s="55">
        <f>C266</f>
        <v>0</v>
      </c>
      <c r="G37" s="52">
        <f t="shared" si="1"/>
        <v>0</v>
      </c>
      <c r="H37" s="52">
        <f t="shared" si="2"/>
        <v>0</v>
      </c>
      <c r="I37" s="65">
        <f t="shared" si="4"/>
        <v>0</v>
      </c>
    </row>
    <row r="40" spans="1:19" x14ac:dyDescent="0.35">
      <c r="A40" t="s">
        <v>13</v>
      </c>
    </row>
    <row r="43" spans="1:19" x14ac:dyDescent="0.35">
      <c r="A43" s="1">
        <f>B14+1</f>
        <v>2023</v>
      </c>
      <c r="B43" t="str">
        <f>CONCATENATE("(F = ",$B$5," in ",A43," onward)")</f>
        <v>(F = F40% in 2023 onward)</v>
      </c>
      <c r="F43" s="31"/>
      <c r="G43" s="27"/>
      <c r="H43" s="27"/>
    </row>
    <row r="44" spans="1:19" x14ac:dyDescent="0.35">
      <c r="B44" s="22"/>
      <c r="E44" s="30"/>
      <c r="F44" s="30"/>
      <c r="G44" s="30">
        <v>2020</v>
      </c>
      <c r="H44" s="30">
        <v>2021</v>
      </c>
      <c r="I44" s="30">
        <v>2022</v>
      </c>
      <c r="J44" s="30">
        <v>2023</v>
      </c>
      <c r="K44" s="30">
        <v>2024</v>
      </c>
      <c r="L44" s="30">
        <v>2025</v>
      </c>
      <c r="M44" s="30">
        <v>2026</v>
      </c>
      <c r="N44" s="30">
        <v>2027</v>
      </c>
      <c r="O44" s="30">
        <v>2028</v>
      </c>
      <c r="P44" s="30">
        <v>2029</v>
      </c>
      <c r="Q44" s="30">
        <v>2030</v>
      </c>
      <c r="R44" s="30">
        <v>2031</v>
      </c>
      <c r="S44" s="30">
        <v>2032</v>
      </c>
    </row>
    <row r="45" spans="1:19" x14ac:dyDescent="0.35">
      <c r="B45" t="s">
        <v>10</v>
      </c>
      <c r="C45" s="3">
        <f>HLOOKUP(($A43-1),G44:S45,2,FALSE)</f>
        <v>0</v>
      </c>
      <c r="E45" s="8" t="s">
        <v>1</v>
      </c>
      <c r="F45" s="8" t="s">
        <v>0</v>
      </c>
      <c r="G45" s="8"/>
      <c r="H45" s="5"/>
      <c r="I45" s="36"/>
    </row>
    <row r="46" spans="1:19" x14ac:dyDescent="0.35">
      <c r="B46" t="s">
        <v>14</v>
      </c>
      <c r="C46" s="3">
        <f>HLOOKUP($A43,G44:S53,10,FALSE)</f>
        <v>0</v>
      </c>
      <c r="E46" s="8"/>
      <c r="F46" s="8" t="s">
        <v>2</v>
      </c>
      <c r="G46" s="8"/>
      <c r="H46" s="8"/>
      <c r="I46" s="8"/>
    </row>
    <row r="47" spans="1:19" x14ac:dyDescent="0.35">
      <c r="B47" t="s">
        <v>15</v>
      </c>
      <c r="C47" s="22">
        <f>C45/$C$6</f>
        <v>0</v>
      </c>
      <c r="E47" s="8"/>
      <c r="F47" s="8" t="s">
        <v>27</v>
      </c>
      <c r="G47" s="8"/>
      <c r="H47" s="8"/>
      <c r="I47" s="8"/>
    </row>
    <row r="48" spans="1:19" x14ac:dyDescent="0.35">
      <c r="B48" s="22" t="s">
        <v>12</v>
      </c>
      <c r="C48" s="23">
        <f>$C$19</f>
        <v>1</v>
      </c>
      <c r="E48" s="8"/>
      <c r="F48" s="8" t="s">
        <v>3</v>
      </c>
      <c r="G48" s="8"/>
      <c r="H48" s="8"/>
      <c r="I48" s="8"/>
    </row>
    <row r="49" spans="1:19" x14ac:dyDescent="0.35">
      <c r="B49" t="s">
        <v>16</v>
      </c>
      <c r="C49">
        <f>SQRT(LN(C48^2+1))</f>
        <v>0.83255461115769769</v>
      </c>
      <c r="E49" s="29" t="s">
        <v>9</v>
      </c>
      <c r="F49" s="29" t="s"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x14ac:dyDescent="0.35">
      <c r="A50" s="1"/>
      <c r="B50" t="s">
        <v>17</v>
      </c>
      <c r="C50" s="6">
        <f>IF(C47&gt;=1.5,0.49,IF(C47&lt;0.1,0,IF(C47&lt;1,-0.05+0.5*C47,0.08*(C47)+0.37)))</f>
        <v>0</v>
      </c>
      <c r="E50" s="8"/>
      <c r="F50" s="8" t="s"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35">
      <c r="B51" s="1" t="s">
        <v>7</v>
      </c>
      <c r="C51" s="24" t="e">
        <f>_xlfn.LOGNORM.INV(C50,LN(C46),C49)</f>
        <v>#NUM!</v>
      </c>
      <c r="E51" s="8"/>
      <c r="F51" s="8" t="s">
        <v>27</v>
      </c>
      <c r="G51" s="8"/>
      <c r="H51" s="8"/>
      <c r="I51" s="5"/>
      <c r="J51" s="5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35">
      <c r="B52" s="1" t="s">
        <v>18</v>
      </c>
      <c r="C52" t="e">
        <f>C51/C46</f>
        <v>#NUM!</v>
      </c>
      <c r="E52" s="30"/>
      <c r="F52" s="30" t="s">
        <v>3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35">
      <c r="B53" s="22"/>
      <c r="E53" s="8" t="s">
        <v>6</v>
      </c>
      <c r="F53" s="8" t="s">
        <v>0</v>
      </c>
      <c r="G53" s="8"/>
      <c r="H53" s="8"/>
      <c r="I53" s="5"/>
      <c r="J53" s="9"/>
    </row>
    <row r="54" spans="1:19" x14ac:dyDescent="0.35">
      <c r="B54" s="39" t="s">
        <v>28</v>
      </c>
      <c r="C54" s="40" t="e">
        <f>ROUND(C51,0)</f>
        <v>#NUM!</v>
      </c>
      <c r="E54" s="8"/>
      <c r="F54" s="8" t="s">
        <v>2</v>
      </c>
      <c r="G54" s="8"/>
      <c r="H54" s="8"/>
      <c r="I54" s="8"/>
    </row>
    <row r="55" spans="1:19" x14ac:dyDescent="0.35">
      <c r="B55" s="5"/>
      <c r="E55" s="8"/>
      <c r="F55" s="8" t="s">
        <v>27</v>
      </c>
      <c r="G55" s="8"/>
      <c r="H55" s="8"/>
      <c r="I55" s="8"/>
    </row>
    <row r="56" spans="1:19" x14ac:dyDescent="0.35">
      <c r="B56" s="5"/>
      <c r="E56" s="8"/>
      <c r="F56" s="8" t="s">
        <v>3</v>
      </c>
      <c r="G56" s="8"/>
      <c r="H56" s="8"/>
      <c r="I56" s="8"/>
    </row>
    <row r="57" spans="1:19" x14ac:dyDescent="0.35">
      <c r="B57" s="5"/>
      <c r="E57" s="29" t="s">
        <v>4</v>
      </c>
      <c r="F57" s="29" t="s"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x14ac:dyDescent="0.35">
      <c r="B58" s="5"/>
      <c r="E58" s="8"/>
      <c r="F58" s="8" t="s"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35">
      <c r="B59" s="22"/>
      <c r="E59" s="8"/>
      <c r="F59" s="8" t="s">
        <v>27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35">
      <c r="B60" s="22"/>
      <c r="E60" s="30"/>
      <c r="F60" s="30" t="s">
        <v>3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x14ac:dyDescent="0.35">
      <c r="B61" s="22"/>
      <c r="E61" s="8" t="s">
        <v>5</v>
      </c>
      <c r="F61" s="8" t="s">
        <v>0</v>
      </c>
      <c r="G61" s="8"/>
      <c r="H61" s="8"/>
      <c r="I61" s="8"/>
    </row>
    <row r="62" spans="1:19" x14ac:dyDescent="0.35">
      <c r="B62" s="22"/>
      <c r="E62" s="8"/>
      <c r="F62" s="8" t="s">
        <v>2</v>
      </c>
      <c r="G62" s="8"/>
      <c r="H62" s="8"/>
      <c r="I62" s="8"/>
    </row>
    <row r="63" spans="1:19" x14ac:dyDescent="0.35">
      <c r="B63" s="22"/>
      <c r="E63" s="8"/>
      <c r="F63" s="8" t="s">
        <v>27</v>
      </c>
      <c r="G63" s="8"/>
      <c r="H63" s="8"/>
      <c r="I63" s="8"/>
    </row>
    <row r="64" spans="1:19" x14ac:dyDescent="0.35">
      <c r="B64" s="22"/>
      <c r="E64" s="30"/>
      <c r="F64" s="30" t="s">
        <v>3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x14ac:dyDescent="0.35">
      <c r="B65" s="22"/>
      <c r="E65" s="8"/>
      <c r="F65" s="8"/>
      <c r="G65" s="8"/>
      <c r="H65" s="8"/>
      <c r="I65" s="8"/>
    </row>
    <row r="66" spans="1:19" x14ac:dyDescent="0.35">
      <c r="B66" s="22"/>
      <c r="E66" s="8"/>
      <c r="F66" s="8"/>
      <c r="G66" s="8"/>
      <c r="H66" s="8"/>
      <c r="I66" s="8"/>
    </row>
    <row r="67" spans="1:19" x14ac:dyDescent="0.35">
      <c r="A67" s="1">
        <f>A43+1</f>
        <v>2024</v>
      </c>
      <c r="B67" t="str">
        <f>CONCATENATE("(F = ",$B$5," in ",A67," onward)")</f>
        <v>(F = F40% in 2024 onward)</v>
      </c>
      <c r="F67" s="31"/>
      <c r="G67" s="27"/>
      <c r="H67" s="27"/>
    </row>
    <row r="68" spans="1:19" x14ac:dyDescent="0.35">
      <c r="B68" s="22"/>
      <c r="E68" s="30"/>
      <c r="F68" s="30"/>
      <c r="G68" s="30">
        <v>2020</v>
      </c>
      <c r="H68" s="30">
        <v>2021</v>
      </c>
      <c r="I68" s="30">
        <v>2022</v>
      </c>
      <c r="J68" s="30">
        <v>2023</v>
      </c>
      <c r="K68" s="30">
        <v>2024</v>
      </c>
      <c r="L68" s="30">
        <v>2025</v>
      </c>
      <c r="M68" s="30">
        <v>2026</v>
      </c>
      <c r="N68" s="30">
        <v>2027</v>
      </c>
      <c r="O68" s="30">
        <v>2028</v>
      </c>
      <c r="P68" s="30">
        <v>2029</v>
      </c>
      <c r="Q68" s="30">
        <v>2030</v>
      </c>
      <c r="R68" s="30">
        <v>2031</v>
      </c>
      <c r="S68" s="30">
        <v>2032</v>
      </c>
    </row>
    <row r="69" spans="1:19" x14ac:dyDescent="0.35">
      <c r="B69" t="s">
        <v>10</v>
      </c>
      <c r="C69" s="3">
        <f>HLOOKUP(($A67-1),G68:S69,2,FALSE)</f>
        <v>0</v>
      </c>
      <c r="E69" s="8" t="s">
        <v>1</v>
      </c>
      <c r="F69" s="8" t="s">
        <v>0</v>
      </c>
      <c r="G69" s="8"/>
      <c r="H69" s="5"/>
      <c r="I69" s="5"/>
      <c r="J69" s="9"/>
    </row>
    <row r="70" spans="1:19" x14ac:dyDescent="0.35">
      <c r="B70" t="s">
        <v>14</v>
      </c>
      <c r="C70" s="3">
        <f>HLOOKUP($A67,G68:S77,10,FALSE)</f>
        <v>0</v>
      </c>
      <c r="E70" s="8"/>
      <c r="F70" s="8" t="s">
        <v>2</v>
      </c>
      <c r="G70" s="8"/>
      <c r="H70" s="8"/>
      <c r="I70" s="8"/>
    </row>
    <row r="71" spans="1:19" x14ac:dyDescent="0.35">
      <c r="B71" t="s">
        <v>15</v>
      </c>
      <c r="C71" s="22">
        <f>C69/$C$6</f>
        <v>0</v>
      </c>
      <c r="E71" s="8"/>
      <c r="F71" s="8" t="s">
        <v>27</v>
      </c>
      <c r="G71" s="8"/>
      <c r="H71" s="8"/>
      <c r="I71" s="8"/>
    </row>
    <row r="72" spans="1:19" x14ac:dyDescent="0.35">
      <c r="B72" s="22" t="s">
        <v>12</v>
      </c>
      <c r="C72" s="23">
        <f>$C$19</f>
        <v>1</v>
      </c>
      <c r="E72" s="8"/>
      <c r="F72" s="8" t="s">
        <v>3</v>
      </c>
      <c r="G72" s="8"/>
      <c r="H72" s="8"/>
      <c r="I72" s="8"/>
    </row>
    <row r="73" spans="1:19" x14ac:dyDescent="0.35">
      <c r="B73" t="s">
        <v>16</v>
      </c>
      <c r="C73">
        <f>SQRT(LN(C72^2+1))</f>
        <v>0.83255461115769769</v>
      </c>
      <c r="E73" s="29" t="s">
        <v>9</v>
      </c>
      <c r="F73" s="29" t="s">
        <v>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x14ac:dyDescent="0.35">
      <c r="A74" s="1"/>
      <c r="B74" t="s">
        <v>17</v>
      </c>
      <c r="C74" s="6">
        <f>IF(C71&gt;=1.5,0.49,IF(C71&lt;0.1,0,IF(C71&lt;1,-0.05+0.5*C71,0.08*(C71)+0.37)))</f>
        <v>0</v>
      </c>
      <c r="E74" s="8"/>
      <c r="F74" s="8" t="s"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35">
      <c r="B75" s="1" t="s">
        <v>7</v>
      </c>
      <c r="C75" s="24" t="e">
        <f>_xlfn.LOGNORM.INV(C74,LN(C70),C73)</f>
        <v>#NUM!</v>
      </c>
      <c r="E75" s="8"/>
      <c r="F75" s="8" t="s">
        <v>27</v>
      </c>
      <c r="G75" s="8"/>
      <c r="H75" s="8"/>
      <c r="I75" s="5"/>
      <c r="J75" s="5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35">
      <c r="B76" s="1" t="s">
        <v>18</v>
      </c>
      <c r="C76" t="e">
        <f>C75/C70</f>
        <v>#NUM!</v>
      </c>
      <c r="E76" s="30"/>
      <c r="F76" s="30" t="s">
        <v>3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x14ac:dyDescent="0.35">
      <c r="B77" s="22"/>
      <c r="E77" s="8" t="s">
        <v>6</v>
      </c>
      <c r="F77" s="8" t="s">
        <v>0</v>
      </c>
      <c r="G77" s="8"/>
      <c r="H77" s="8"/>
      <c r="I77" s="5"/>
      <c r="J77" s="22"/>
      <c r="K77" s="9"/>
    </row>
    <row r="78" spans="1:19" x14ac:dyDescent="0.35">
      <c r="B78" s="39" t="s">
        <v>28</v>
      </c>
      <c r="C78" s="40" t="e">
        <f>ROUND(C75,0)</f>
        <v>#NUM!</v>
      </c>
      <c r="E78" s="8"/>
      <c r="F78" s="8" t="s">
        <v>2</v>
      </c>
      <c r="G78" s="8"/>
      <c r="H78" s="8"/>
      <c r="I78" s="8"/>
    </row>
    <row r="79" spans="1:19" x14ac:dyDescent="0.35">
      <c r="B79" s="5"/>
      <c r="E79" s="8"/>
      <c r="F79" s="8" t="s">
        <v>27</v>
      </c>
      <c r="G79" s="8"/>
      <c r="H79" s="8"/>
      <c r="I79" s="8"/>
    </row>
    <row r="80" spans="1:19" x14ac:dyDescent="0.35">
      <c r="B80" s="5"/>
      <c r="E80" s="8"/>
      <c r="F80" s="8" t="s">
        <v>3</v>
      </c>
      <c r="G80" s="8"/>
      <c r="H80" s="8"/>
      <c r="I80" s="8"/>
    </row>
    <row r="81" spans="1:19" x14ac:dyDescent="0.35">
      <c r="B81" s="5"/>
      <c r="E81" s="29" t="s">
        <v>4</v>
      </c>
      <c r="F81" s="29" t="s"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x14ac:dyDescent="0.35">
      <c r="B82" s="5"/>
      <c r="E82" s="8"/>
      <c r="F82" s="8" t="s">
        <v>2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35">
      <c r="B83" s="22"/>
      <c r="E83" s="8"/>
      <c r="F83" s="8" t="s">
        <v>27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35">
      <c r="B84" s="22"/>
      <c r="E84" s="30"/>
      <c r="F84" s="30" t="s">
        <v>3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x14ac:dyDescent="0.35">
      <c r="B85" s="22"/>
      <c r="E85" s="8" t="s">
        <v>5</v>
      </c>
      <c r="F85" s="8" t="s">
        <v>0</v>
      </c>
      <c r="G85" s="8"/>
      <c r="H85" s="8"/>
      <c r="I85" s="8"/>
    </row>
    <row r="86" spans="1:19" x14ac:dyDescent="0.35">
      <c r="B86" s="22"/>
      <c r="E86" s="8"/>
      <c r="F86" s="8" t="s">
        <v>2</v>
      </c>
      <c r="G86" s="8"/>
      <c r="H86" s="8"/>
      <c r="I86" s="8"/>
    </row>
    <row r="87" spans="1:19" x14ac:dyDescent="0.35">
      <c r="B87" s="22"/>
      <c r="E87" s="8"/>
      <c r="F87" s="8" t="s">
        <v>27</v>
      </c>
      <c r="G87" s="8"/>
      <c r="H87" s="8"/>
      <c r="I87" s="8"/>
    </row>
    <row r="88" spans="1:19" x14ac:dyDescent="0.35">
      <c r="B88" s="22"/>
      <c r="E88" s="30"/>
      <c r="F88" s="30" t="s">
        <v>3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x14ac:dyDescent="0.35">
      <c r="B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35">
      <c r="B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35">
      <c r="A91" s="1">
        <f>A67+1</f>
        <v>2025</v>
      </c>
      <c r="B91" t="str">
        <f>CONCATENATE("(F = ",$B$5," in ",A91," onward)")</f>
        <v>(F = F40% in 2025 onward)</v>
      </c>
      <c r="F91" s="31"/>
      <c r="G91" s="27"/>
      <c r="H91" s="27"/>
    </row>
    <row r="92" spans="1:19" x14ac:dyDescent="0.35">
      <c r="B92" s="22"/>
      <c r="E92" s="30"/>
      <c r="F92" s="30"/>
      <c r="G92" s="30">
        <v>2020</v>
      </c>
      <c r="H92" s="30">
        <v>2021</v>
      </c>
      <c r="I92" s="30">
        <v>2022</v>
      </c>
      <c r="J92" s="30">
        <v>2023</v>
      </c>
      <c r="K92" s="30">
        <v>2024</v>
      </c>
      <c r="L92" s="30">
        <v>2025</v>
      </c>
      <c r="M92" s="30">
        <v>2026</v>
      </c>
      <c r="N92" s="30">
        <v>2027</v>
      </c>
      <c r="O92" s="30">
        <v>2028</v>
      </c>
      <c r="P92" s="30">
        <v>2029</v>
      </c>
      <c r="Q92" s="30">
        <v>2030</v>
      </c>
      <c r="R92" s="30">
        <v>2031</v>
      </c>
      <c r="S92" s="30">
        <v>2032</v>
      </c>
    </row>
    <row r="93" spans="1:19" x14ac:dyDescent="0.35">
      <c r="B93" t="s">
        <v>10</v>
      </c>
      <c r="C93" s="3">
        <f>HLOOKUP(($A91-1),G92:S93,2,FALSE)</f>
        <v>0</v>
      </c>
      <c r="E93" s="8" t="s">
        <v>1</v>
      </c>
      <c r="F93" s="8" t="s">
        <v>0</v>
      </c>
      <c r="G93" s="8"/>
      <c r="H93" s="5"/>
      <c r="I93" s="5"/>
      <c r="K93" s="9"/>
    </row>
    <row r="94" spans="1:19" x14ac:dyDescent="0.35">
      <c r="B94" t="s">
        <v>14</v>
      </c>
      <c r="C94" s="3">
        <f>HLOOKUP($A91,G92:S101,10,FALSE)</f>
        <v>0</v>
      </c>
      <c r="E94" s="8"/>
      <c r="F94" s="8" t="s">
        <v>2</v>
      </c>
      <c r="G94" s="8"/>
      <c r="H94" s="5"/>
      <c r="I94" s="5"/>
    </row>
    <row r="95" spans="1:19" x14ac:dyDescent="0.35">
      <c r="B95" t="s">
        <v>15</v>
      </c>
      <c r="C95" s="22">
        <f>C93/$C$6</f>
        <v>0</v>
      </c>
      <c r="E95" s="8"/>
      <c r="F95" s="8" t="s">
        <v>27</v>
      </c>
      <c r="G95" s="8"/>
      <c r="H95" s="5"/>
      <c r="I95" s="5"/>
    </row>
    <row r="96" spans="1:19" x14ac:dyDescent="0.35">
      <c r="B96" s="22" t="s">
        <v>12</v>
      </c>
      <c r="C96" s="23">
        <f>$C$19</f>
        <v>1</v>
      </c>
      <c r="E96" s="8"/>
      <c r="F96" s="8" t="s">
        <v>3</v>
      </c>
      <c r="G96" s="8"/>
      <c r="H96" s="5"/>
      <c r="I96" s="5"/>
    </row>
    <row r="97" spans="1:19" x14ac:dyDescent="0.35">
      <c r="B97" t="s">
        <v>16</v>
      </c>
      <c r="C97">
        <f>SQRT(LN(C96^2+1))</f>
        <v>0.83255461115769769</v>
      </c>
      <c r="E97" s="29" t="s">
        <v>9</v>
      </c>
      <c r="F97" s="29" t="s">
        <v>0</v>
      </c>
      <c r="G97" s="29"/>
      <c r="H97" s="32"/>
      <c r="I97" s="32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x14ac:dyDescent="0.35">
      <c r="A98" s="1"/>
      <c r="B98" t="s">
        <v>17</v>
      </c>
      <c r="C98" s="6">
        <f>IF(C95&gt;=1.5,0.49,IF(C95&lt;0.1,0,IF(C95&lt;1,-0.05+0.5*C95,0.08*(C95)+0.37)))</f>
        <v>0</v>
      </c>
      <c r="E98" s="8"/>
      <c r="F98" s="8" t="s">
        <v>2</v>
      </c>
      <c r="G98" s="8"/>
      <c r="H98" s="5"/>
      <c r="I98" s="5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35">
      <c r="B99" s="1" t="s">
        <v>7</v>
      </c>
      <c r="C99" s="24" t="e">
        <f>_xlfn.LOGNORM.INV(C98,LN(C94),C97)</f>
        <v>#NUM!</v>
      </c>
      <c r="E99" s="8"/>
      <c r="F99" s="8" t="s">
        <v>27</v>
      </c>
      <c r="G99" s="8"/>
      <c r="H99" s="5"/>
      <c r="I99" s="5"/>
      <c r="J99" s="5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35">
      <c r="B100" s="1" t="s">
        <v>18</v>
      </c>
      <c r="C100" t="e">
        <f>C99/C94</f>
        <v>#NUM!</v>
      </c>
      <c r="E100" s="30"/>
      <c r="F100" s="30" t="s">
        <v>3</v>
      </c>
      <c r="G100" s="30"/>
      <c r="H100" s="37"/>
      <c r="I100" s="37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x14ac:dyDescent="0.35">
      <c r="B101" s="22"/>
      <c r="E101" s="8" t="s">
        <v>6</v>
      </c>
      <c r="F101" s="8" t="s">
        <v>0</v>
      </c>
      <c r="G101" s="8"/>
      <c r="H101" s="5"/>
      <c r="I101" s="5"/>
      <c r="L101" s="9"/>
    </row>
    <row r="102" spans="1:19" x14ac:dyDescent="0.35">
      <c r="B102" s="39" t="s">
        <v>28</v>
      </c>
      <c r="C102" s="40" t="e">
        <f>ROUND(C99,0)</f>
        <v>#NUM!</v>
      </c>
      <c r="E102" s="8"/>
      <c r="F102" s="8" t="s">
        <v>2</v>
      </c>
      <c r="G102" s="8"/>
      <c r="H102" s="5"/>
      <c r="I102" s="5"/>
    </row>
    <row r="103" spans="1:19" x14ac:dyDescent="0.35">
      <c r="B103" s="5"/>
      <c r="E103" s="8"/>
      <c r="F103" s="8" t="s">
        <v>27</v>
      </c>
      <c r="G103" s="8"/>
      <c r="H103" s="5"/>
      <c r="I103" s="5"/>
    </row>
    <row r="104" spans="1:19" x14ac:dyDescent="0.35">
      <c r="B104" s="5"/>
      <c r="E104" s="8"/>
      <c r="F104" s="8" t="s">
        <v>3</v>
      </c>
      <c r="G104" s="8"/>
      <c r="H104" s="8"/>
      <c r="I104" s="8"/>
    </row>
    <row r="105" spans="1:19" x14ac:dyDescent="0.35">
      <c r="B105" s="5"/>
      <c r="E105" s="29" t="s">
        <v>4</v>
      </c>
      <c r="F105" s="29" t="s">
        <v>0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x14ac:dyDescent="0.35">
      <c r="B106" s="5"/>
      <c r="E106" s="8"/>
      <c r="F106" s="8" t="s">
        <v>2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35">
      <c r="B107" s="22"/>
      <c r="E107" s="8"/>
      <c r="F107" s="8" t="s">
        <v>27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35">
      <c r="B108" s="22"/>
      <c r="E108" s="30"/>
      <c r="F108" s="30" t="s">
        <v>3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x14ac:dyDescent="0.35">
      <c r="B109" s="22"/>
      <c r="E109" s="8" t="s">
        <v>5</v>
      </c>
      <c r="F109" s="8" t="s">
        <v>0</v>
      </c>
      <c r="G109" s="8"/>
      <c r="H109" s="8"/>
      <c r="I109" s="8"/>
    </row>
    <row r="110" spans="1:19" x14ac:dyDescent="0.35">
      <c r="B110" s="22"/>
      <c r="E110" s="8"/>
      <c r="F110" s="8" t="s">
        <v>2</v>
      </c>
      <c r="G110" s="8"/>
      <c r="H110" s="8"/>
      <c r="I110" s="8"/>
    </row>
    <row r="111" spans="1:19" x14ac:dyDescent="0.35">
      <c r="B111" s="22"/>
      <c r="E111" s="8"/>
      <c r="F111" s="8" t="s">
        <v>27</v>
      </c>
      <c r="G111" s="8"/>
      <c r="H111" s="8"/>
      <c r="I111" s="8"/>
    </row>
    <row r="112" spans="1:19" x14ac:dyDescent="0.35">
      <c r="B112" s="22"/>
      <c r="E112" s="30"/>
      <c r="F112" s="30" t="s">
        <v>3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x14ac:dyDescent="0.35">
      <c r="B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35">
      <c r="B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35">
      <c r="A115" s="1">
        <f>A91+1</f>
        <v>2026</v>
      </c>
      <c r="B115" t="str">
        <f>CONCATENATE("(F = ",$B$5," in ",A115," onward)")</f>
        <v>(F = F40% in 2026 onward)</v>
      </c>
      <c r="F115" s="31"/>
      <c r="G115" s="27"/>
      <c r="H115" s="27"/>
    </row>
    <row r="116" spans="1:19" x14ac:dyDescent="0.35">
      <c r="B116" s="22"/>
      <c r="E116" s="30"/>
      <c r="F116" s="30"/>
      <c r="G116" s="30">
        <v>2020</v>
      </c>
      <c r="H116" s="30">
        <v>2021</v>
      </c>
      <c r="I116" s="30">
        <v>2022</v>
      </c>
      <c r="J116" s="30">
        <v>2023</v>
      </c>
      <c r="K116" s="30">
        <v>2024</v>
      </c>
      <c r="L116" s="30">
        <v>2025</v>
      </c>
      <c r="M116" s="30">
        <v>2026</v>
      </c>
      <c r="N116" s="30">
        <v>2027</v>
      </c>
      <c r="O116" s="30">
        <v>2028</v>
      </c>
      <c r="P116" s="30">
        <v>2029</v>
      </c>
      <c r="Q116" s="30">
        <v>2030</v>
      </c>
      <c r="R116" s="30">
        <v>2031</v>
      </c>
      <c r="S116" s="30">
        <v>2032</v>
      </c>
    </row>
    <row r="117" spans="1:19" x14ac:dyDescent="0.35">
      <c r="B117" t="s">
        <v>10</v>
      </c>
      <c r="C117" s="3">
        <f>HLOOKUP(($A115-1),G116:S117,2,FALSE)</f>
        <v>0</v>
      </c>
      <c r="E117" s="8" t="s">
        <v>1</v>
      </c>
      <c r="F117" s="8" t="s">
        <v>0</v>
      </c>
      <c r="G117" s="8"/>
      <c r="H117" s="5"/>
      <c r="I117" s="5"/>
      <c r="K117" s="22"/>
      <c r="L117" s="9"/>
    </row>
    <row r="118" spans="1:19" x14ac:dyDescent="0.35">
      <c r="B118" t="s">
        <v>14</v>
      </c>
      <c r="C118" s="3">
        <f>HLOOKUP($A115,G116:S125,10,FALSE)</f>
        <v>0</v>
      </c>
      <c r="E118" s="8"/>
      <c r="F118" s="8" t="s">
        <v>2</v>
      </c>
      <c r="G118" s="8"/>
      <c r="H118" s="5"/>
      <c r="I118" s="5"/>
    </row>
    <row r="119" spans="1:19" x14ac:dyDescent="0.35">
      <c r="B119" t="s">
        <v>15</v>
      </c>
      <c r="C119" s="22">
        <f>C117/$C$6</f>
        <v>0</v>
      </c>
      <c r="E119" s="8"/>
      <c r="F119" s="8" t="s">
        <v>27</v>
      </c>
      <c r="G119" s="8"/>
      <c r="H119" s="5"/>
      <c r="I119" s="5"/>
    </row>
    <row r="120" spans="1:19" x14ac:dyDescent="0.35">
      <c r="B120" s="22" t="s">
        <v>12</v>
      </c>
      <c r="C120" s="23">
        <f>$C$19</f>
        <v>1</v>
      </c>
      <c r="E120" s="8"/>
      <c r="F120" s="8" t="s">
        <v>3</v>
      </c>
      <c r="G120" s="8"/>
      <c r="H120" s="5"/>
      <c r="I120" s="5"/>
    </row>
    <row r="121" spans="1:19" x14ac:dyDescent="0.35">
      <c r="B121" t="s">
        <v>16</v>
      </c>
      <c r="C121">
        <f>SQRT(LN(C120^2+1))</f>
        <v>0.83255461115769769</v>
      </c>
      <c r="E121" s="29" t="s">
        <v>9</v>
      </c>
      <c r="F121" s="29" t="s">
        <v>0</v>
      </c>
      <c r="G121" s="29"/>
      <c r="H121" s="32"/>
      <c r="I121" s="32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x14ac:dyDescent="0.35">
      <c r="A122" s="1"/>
      <c r="B122" t="s">
        <v>17</v>
      </c>
      <c r="C122" s="6">
        <f>IF(C119&gt;=1.5,0.49,IF(C119&lt;0.1,0,IF(C119&lt;1,-0.05+0.5*C119,0.08*(C119)+0.37)))</f>
        <v>0</v>
      </c>
      <c r="E122" s="8"/>
      <c r="F122" s="8" t="s">
        <v>2</v>
      </c>
      <c r="G122" s="8"/>
      <c r="H122" s="5"/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35">
      <c r="B123" s="1" t="s">
        <v>7</v>
      </c>
      <c r="C123" s="24" t="e">
        <f>_xlfn.LOGNORM.INV(C122,LN(C118),C121)</f>
        <v>#NUM!</v>
      </c>
      <c r="E123" s="8"/>
      <c r="F123" s="8" t="s">
        <v>27</v>
      </c>
      <c r="G123" s="8"/>
      <c r="H123" s="5"/>
      <c r="I123" s="5"/>
      <c r="J123" s="5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35">
      <c r="B124" s="1" t="s">
        <v>18</v>
      </c>
      <c r="C124" t="e">
        <f>C123/C118</f>
        <v>#NUM!</v>
      </c>
      <c r="E124" s="30"/>
      <c r="F124" s="30" t="s">
        <v>3</v>
      </c>
      <c r="G124" s="30"/>
      <c r="H124" s="37"/>
      <c r="I124" s="37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x14ac:dyDescent="0.35">
      <c r="B125" s="22"/>
      <c r="E125" s="8" t="s">
        <v>6</v>
      </c>
      <c r="F125" s="8" t="s">
        <v>0</v>
      </c>
      <c r="G125" s="8"/>
      <c r="H125" s="5"/>
      <c r="I125" s="5"/>
      <c r="L125" s="22"/>
      <c r="M125" s="9"/>
    </row>
    <row r="126" spans="1:19" x14ac:dyDescent="0.35">
      <c r="B126" s="39" t="s">
        <v>28</v>
      </c>
      <c r="C126" s="40" t="e">
        <f>ROUND(C123,0)</f>
        <v>#NUM!</v>
      </c>
      <c r="E126" s="8"/>
      <c r="F126" s="8" t="s">
        <v>2</v>
      </c>
      <c r="G126" s="8"/>
      <c r="H126" s="5"/>
      <c r="I126" s="5"/>
    </row>
    <row r="127" spans="1:19" x14ac:dyDescent="0.35">
      <c r="B127" s="5"/>
      <c r="E127" s="8"/>
      <c r="F127" s="8" t="s">
        <v>27</v>
      </c>
      <c r="G127" s="8"/>
      <c r="H127" s="5"/>
      <c r="I127" s="5"/>
    </row>
    <row r="128" spans="1:19" x14ac:dyDescent="0.35">
      <c r="B128" s="5"/>
      <c r="E128" s="8"/>
      <c r="F128" s="8" t="s">
        <v>3</v>
      </c>
      <c r="G128" s="8"/>
      <c r="H128" s="8"/>
      <c r="I128" s="8"/>
    </row>
    <row r="129" spans="1:19" x14ac:dyDescent="0.35">
      <c r="B129" s="5"/>
      <c r="E129" s="29" t="s">
        <v>4</v>
      </c>
      <c r="F129" s="29" t="s">
        <v>0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x14ac:dyDescent="0.35">
      <c r="B130" s="5"/>
      <c r="E130" s="8"/>
      <c r="F130" s="8" t="s">
        <v>2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35">
      <c r="B131" s="22"/>
      <c r="E131" s="8"/>
      <c r="F131" s="8" t="s">
        <v>27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35">
      <c r="B132" s="22"/>
      <c r="E132" s="30"/>
      <c r="F132" s="30" t="s">
        <v>3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x14ac:dyDescent="0.35">
      <c r="B133" s="22"/>
      <c r="E133" s="8" t="s">
        <v>5</v>
      </c>
      <c r="F133" s="8" t="s">
        <v>0</v>
      </c>
      <c r="G133" s="8"/>
      <c r="H133" s="8"/>
      <c r="I133" s="8"/>
    </row>
    <row r="134" spans="1:19" x14ac:dyDescent="0.35">
      <c r="B134" s="22"/>
      <c r="E134" s="8"/>
      <c r="F134" s="8" t="s">
        <v>2</v>
      </c>
      <c r="G134" s="8"/>
      <c r="H134" s="8"/>
      <c r="I134" s="8"/>
    </row>
    <row r="135" spans="1:19" x14ac:dyDescent="0.35">
      <c r="B135" s="22"/>
      <c r="E135" s="8"/>
      <c r="F135" s="8" t="s">
        <v>27</v>
      </c>
      <c r="G135" s="8"/>
      <c r="H135" s="8"/>
      <c r="I135" s="8"/>
    </row>
    <row r="136" spans="1:19" x14ac:dyDescent="0.35">
      <c r="B136" s="22"/>
      <c r="E136" s="30"/>
      <c r="F136" s="30" t="s">
        <v>3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x14ac:dyDescent="0.35">
      <c r="B137" s="2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35">
      <c r="B138" s="2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35">
      <c r="A139" s="1">
        <f>A115+1</f>
        <v>2027</v>
      </c>
      <c r="B139" t="str">
        <f>CONCATENATE("(F = ",$B$5," in ",A139," onward)")</f>
        <v>(F = F40% in 2027 onward)</v>
      </c>
      <c r="F139" s="31"/>
      <c r="G139" s="27"/>
      <c r="H139" s="27"/>
    </row>
    <row r="140" spans="1:19" x14ac:dyDescent="0.35">
      <c r="B140" s="22"/>
      <c r="E140" s="30"/>
      <c r="F140" s="30"/>
      <c r="G140" s="30">
        <v>2020</v>
      </c>
      <c r="H140" s="30">
        <v>2021</v>
      </c>
      <c r="I140" s="30">
        <v>2022</v>
      </c>
      <c r="J140" s="30">
        <v>2023</v>
      </c>
      <c r="K140" s="30">
        <v>2024</v>
      </c>
      <c r="L140" s="30">
        <v>2025</v>
      </c>
      <c r="M140" s="30">
        <v>2026</v>
      </c>
      <c r="N140" s="30">
        <v>2027</v>
      </c>
      <c r="O140" s="30">
        <v>2028</v>
      </c>
      <c r="P140" s="30">
        <v>2029</v>
      </c>
      <c r="Q140" s="30">
        <v>2030</v>
      </c>
      <c r="R140" s="30">
        <v>2031</v>
      </c>
      <c r="S140" s="30">
        <v>2032</v>
      </c>
    </row>
    <row r="141" spans="1:19" x14ac:dyDescent="0.35">
      <c r="B141" t="s">
        <v>10</v>
      </c>
      <c r="C141" s="3">
        <f>HLOOKUP(($A139-1),G140:S141,2,FALSE)</f>
        <v>0</v>
      </c>
      <c r="E141" s="8" t="s">
        <v>1</v>
      </c>
      <c r="F141" s="8" t="s">
        <v>0</v>
      </c>
      <c r="G141" s="8"/>
      <c r="H141" s="5"/>
      <c r="I141" s="5"/>
      <c r="K141" s="22"/>
      <c r="L141" s="22"/>
      <c r="M141" s="9"/>
    </row>
    <row r="142" spans="1:19" x14ac:dyDescent="0.35">
      <c r="B142" t="s">
        <v>14</v>
      </c>
      <c r="C142" s="3">
        <f>HLOOKUP($A139,G140:S149,10,FALSE)</f>
        <v>0</v>
      </c>
      <c r="E142" s="8"/>
      <c r="F142" s="8" t="s">
        <v>2</v>
      </c>
      <c r="G142" s="8"/>
      <c r="H142" s="5"/>
      <c r="I142" s="5"/>
    </row>
    <row r="143" spans="1:19" x14ac:dyDescent="0.35">
      <c r="B143" t="s">
        <v>15</v>
      </c>
      <c r="C143" s="22">
        <f>C141/$C$6</f>
        <v>0</v>
      </c>
      <c r="E143" s="8"/>
      <c r="F143" s="8" t="s">
        <v>27</v>
      </c>
      <c r="G143" s="8"/>
      <c r="H143" s="5"/>
      <c r="I143" s="5"/>
    </row>
    <row r="144" spans="1:19" x14ac:dyDescent="0.35">
      <c r="B144" s="22" t="s">
        <v>12</v>
      </c>
      <c r="C144" s="23">
        <f>$C$19</f>
        <v>1</v>
      </c>
      <c r="E144" s="8"/>
      <c r="F144" s="8" t="s">
        <v>3</v>
      </c>
      <c r="G144" s="8"/>
      <c r="H144" s="5"/>
      <c r="I144" s="5"/>
    </row>
    <row r="145" spans="1:19" x14ac:dyDescent="0.35">
      <c r="B145" t="s">
        <v>16</v>
      </c>
      <c r="C145">
        <f>SQRT(LN(C144^2+1))</f>
        <v>0.83255461115769769</v>
      </c>
      <c r="E145" s="29" t="s">
        <v>9</v>
      </c>
      <c r="F145" s="29" t="s">
        <v>0</v>
      </c>
      <c r="G145" s="29"/>
      <c r="H145" s="32"/>
      <c r="I145" s="32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x14ac:dyDescent="0.35">
      <c r="A146" s="1"/>
      <c r="B146" t="s">
        <v>17</v>
      </c>
      <c r="C146" s="6">
        <f>IF(C143&gt;=1.5,0.49,IF(C143&lt;0.1,0,IF(C143&lt;1,-0.05+0.5*C143,0.08*(C143)+0.37)))</f>
        <v>0</v>
      </c>
      <c r="E146" s="8"/>
      <c r="F146" s="8" t="s">
        <v>2</v>
      </c>
      <c r="G146" s="8"/>
      <c r="H146" s="5"/>
      <c r="I146" s="5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35">
      <c r="B147" s="1" t="s">
        <v>7</v>
      </c>
      <c r="C147" s="24" t="e">
        <f>_xlfn.LOGNORM.INV(C146,LN(C142),C145)</f>
        <v>#NUM!</v>
      </c>
      <c r="E147" s="8"/>
      <c r="F147" s="8" t="s">
        <v>27</v>
      </c>
      <c r="G147" s="8"/>
      <c r="H147" s="5"/>
      <c r="I147" s="5"/>
      <c r="J147" s="5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35">
      <c r="B148" s="1" t="s">
        <v>18</v>
      </c>
      <c r="C148" t="e">
        <f>C147/C142</f>
        <v>#NUM!</v>
      </c>
      <c r="E148" s="30"/>
      <c r="F148" s="30" t="s">
        <v>3</v>
      </c>
      <c r="G148" s="30"/>
      <c r="H148" s="37"/>
      <c r="I148" s="37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x14ac:dyDescent="0.35">
      <c r="B149" s="22"/>
      <c r="E149" s="8" t="s">
        <v>6</v>
      </c>
      <c r="F149" s="8" t="s">
        <v>0</v>
      </c>
      <c r="G149" s="8"/>
      <c r="H149" s="5"/>
      <c r="I149" s="5"/>
      <c r="L149" s="22"/>
      <c r="M149" s="22"/>
      <c r="N149" s="9"/>
    </row>
    <row r="150" spans="1:19" x14ac:dyDescent="0.35">
      <c r="B150" s="39" t="s">
        <v>28</v>
      </c>
      <c r="C150" s="40" t="e">
        <f>ROUND(C147,0)</f>
        <v>#NUM!</v>
      </c>
      <c r="E150" s="8"/>
      <c r="F150" s="8" t="s">
        <v>2</v>
      </c>
      <c r="G150" s="8"/>
      <c r="H150" s="5"/>
      <c r="I150" s="5"/>
    </row>
    <row r="151" spans="1:19" x14ac:dyDescent="0.35">
      <c r="B151" s="5"/>
      <c r="E151" s="8"/>
      <c r="F151" s="8" t="s">
        <v>27</v>
      </c>
      <c r="G151" s="8"/>
      <c r="H151" s="5"/>
      <c r="I151" s="5"/>
    </row>
    <row r="152" spans="1:19" x14ac:dyDescent="0.35">
      <c r="B152" s="5"/>
      <c r="E152" s="8"/>
      <c r="F152" s="8" t="s">
        <v>3</v>
      </c>
      <c r="G152" s="8"/>
      <c r="H152" s="8"/>
      <c r="I152" s="8"/>
    </row>
    <row r="153" spans="1:19" x14ac:dyDescent="0.35">
      <c r="B153" s="5"/>
      <c r="E153" s="29" t="s">
        <v>4</v>
      </c>
      <c r="F153" s="29" t="s">
        <v>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x14ac:dyDescent="0.35">
      <c r="B154" s="5"/>
      <c r="E154" s="8"/>
      <c r="F154" s="8" t="s">
        <v>2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35">
      <c r="B155" s="22"/>
      <c r="E155" s="8"/>
      <c r="F155" s="8" t="s">
        <v>27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35">
      <c r="B156" s="22"/>
      <c r="E156" s="30"/>
      <c r="F156" s="30" t="s">
        <v>3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x14ac:dyDescent="0.35">
      <c r="B157" s="22"/>
      <c r="E157" s="8" t="s">
        <v>5</v>
      </c>
      <c r="F157" s="8" t="s">
        <v>0</v>
      </c>
      <c r="G157" s="8"/>
      <c r="H157" s="8"/>
      <c r="I157" s="8"/>
    </row>
    <row r="158" spans="1:19" x14ac:dyDescent="0.35">
      <c r="B158" s="22"/>
      <c r="E158" s="8"/>
      <c r="F158" s="8" t="s">
        <v>2</v>
      </c>
      <c r="G158" s="8"/>
      <c r="H158" s="8"/>
      <c r="I158" s="8"/>
    </row>
    <row r="159" spans="1:19" x14ac:dyDescent="0.35">
      <c r="B159" s="22"/>
      <c r="E159" s="8"/>
      <c r="F159" s="8" t="s">
        <v>27</v>
      </c>
      <c r="G159" s="8"/>
      <c r="H159" s="8"/>
      <c r="I159" s="8"/>
    </row>
    <row r="160" spans="1:19" x14ac:dyDescent="0.35">
      <c r="B160" s="22"/>
      <c r="E160" s="30"/>
      <c r="F160" s="30" t="s">
        <v>3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x14ac:dyDescent="0.35">
      <c r="B161" s="2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35">
      <c r="B162" s="2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35">
      <c r="A163" s="1">
        <f>A139+1</f>
        <v>2028</v>
      </c>
      <c r="B163" t="str">
        <f>CONCATENATE("(F = ",$B$5," in ",A163," onward)")</f>
        <v>(F = F40% in 2028 onward)</v>
      </c>
      <c r="F163" s="31"/>
      <c r="G163" s="27"/>
      <c r="H163" s="27"/>
    </row>
    <row r="164" spans="1:19" x14ac:dyDescent="0.35">
      <c r="B164" s="22"/>
      <c r="E164" s="30"/>
      <c r="F164" s="30"/>
      <c r="G164" s="30">
        <v>2020</v>
      </c>
      <c r="H164" s="30">
        <v>2021</v>
      </c>
      <c r="I164" s="30">
        <v>2022</v>
      </c>
      <c r="J164" s="30">
        <v>2023</v>
      </c>
      <c r="K164" s="30">
        <v>2024</v>
      </c>
      <c r="L164" s="30">
        <v>2025</v>
      </c>
      <c r="M164" s="30">
        <v>2026</v>
      </c>
      <c r="N164" s="30">
        <v>2027</v>
      </c>
      <c r="O164" s="30">
        <v>2028</v>
      </c>
      <c r="P164" s="30">
        <v>2029</v>
      </c>
      <c r="Q164" s="30">
        <v>2030</v>
      </c>
      <c r="R164" s="30">
        <v>2031</v>
      </c>
      <c r="S164" s="30">
        <v>2032</v>
      </c>
    </row>
    <row r="165" spans="1:19" x14ac:dyDescent="0.35">
      <c r="B165" t="s">
        <v>10</v>
      </c>
      <c r="C165" s="3">
        <f>HLOOKUP(($A163-1),G164:S165,2,FALSE)</f>
        <v>0</v>
      </c>
      <c r="E165" s="8" t="s">
        <v>1</v>
      </c>
      <c r="F165" s="8" t="s">
        <v>0</v>
      </c>
      <c r="G165" s="8"/>
      <c r="H165" s="5"/>
      <c r="I165" s="5"/>
      <c r="K165" s="22"/>
      <c r="L165" s="22"/>
      <c r="M165" s="22"/>
      <c r="N165" s="9"/>
    </row>
    <row r="166" spans="1:19" x14ac:dyDescent="0.35">
      <c r="B166" t="s">
        <v>14</v>
      </c>
      <c r="C166" s="3">
        <f>HLOOKUP($A163,G164:S173,10,FALSE)</f>
        <v>0</v>
      </c>
      <c r="E166" s="8"/>
      <c r="F166" s="8" t="s">
        <v>2</v>
      </c>
      <c r="G166" s="8"/>
      <c r="H166" s="5"/>
      <c r="I166" s="5"/>
    </row>
    <row r="167" spans="1:19" x14ac:dyDescent="0.35">
      <c r="B167" t="s">
        <v>15</v>
      </c>
      <c r="C167" s="22">
        <f>C165/$C$6</f>
        <v>0</v>
      </c>
      <c r="E167" s="8"/>
      <c r="F167" s="8" t="s">
        <v>27</v>
      </c>
      <c r="G167" s="8"/>
      <c r="H167" s="5"/>
      <c r="I167" s="5"/>
    </row>
    <row r="168" spans="1:19" x14ac:dyDescent="0.35">
      <c r="B168" s="22" t="s">
        <v>12</v>
      </c>
      <c r="C168" s="23">
        <f>$C$19</f>
        <v>1</v>
      </c>
      <c r="E168" s="8"/>
      <c r="F168" s="8" t="s">
        <v>3</v>
      </c>
      <c r="G168" s="8"/>
      <c r="H168" s="5"/>
      <c r="I168" s="5"/>
    </row>
    <row r="169" spans="1:19" x14ac:dyDescent="0.35">
      <c r="B169" t="s">
        <v>16</v>
      </c>
      <c r="C169">
        <f>SQRT(LN(C168^2+1))</f>
        <v>0.83255461115769769</v>
      </c>
      <c r="E169" s="29" t="s">
        <v>9</v>
      </c>
      <c r="F169" s="29" t="s">
        <v>0</v>
      </c>
      <c r="G169" s="29"/>
      <c r="H169" s="32"/>
      <c r="I169" s="32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x14ac:dyDescent="0.35">
      <c r="A170" s="1"/>
      <c r="B170" t="s">
        <v>17</v>
      </c>
      <c r="C170" s="6">
        <f>IF(C167&gt;=1.5,0.49,IF(C167&lt;0.1,0,IF(C167&lt;1,-0.05+0.5*C167,0.08*(C167)+0.37)))</f>
        <v>0</v>
      </c>
      <c r="E170" s="8"/>
      <c r="F170" s="8" t="s">
        <v>2</v>
      </c>
      <c r="G170" s="8"/>
      <c r="H170" s="5"/>
      <c r="I170" s="5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x14ac:dyDescent="0.35">
      <c r="B171" s="1" t="s">
        <v>7</v>
      </c>
      <c r="C171" s="24" t="e">
        <f>_xlfn.LOGNORM.INV(C170,LN(C166),C169)</f>
        <v>#NUM!</v>
      </c>
      <c r="E171" s="8"/>
      <c r="F171" s="8" t="s">
        <v>27</v>
      </c>
      <c r="G171" s="8"/>
      <c r="H171" s="5"/>
      <c r="I171" s="5"/>
      <c r="J171" s="5"/>
      <c r="K171" s="8"/>
      <c r="L171" s="8"/>
      <c r="M171" s="8"/>
      <c r="N171" s="8"/>
      <c r="O171" s="8"/>
      <c r="P171" s="8"/>
      <c r="Q171" s="8"/>
      <c r="R171" s="8"/>
      <c r="S171" s="8"/>
    </row>
    <row r="172" spans="1:19" x14ac:dyDescent="0.35">
      <c r="B172" s="1" t="s">
        <v>18</v>
      </c>
      <c r="C172" t="e">
        <f>C171/C166</f>
        <v>#NUM!</v>
      </c>
      <c r="E172" s="30"/>
      <c r="F172" s="30" t="s">
        <v>3</v>
      </c>
      <c r="G172" s="30"/>
      <c r="H172" s="37"/>
      <c r="I172" s="37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x14ac:dyDescent="0.35">
      <c r="B173" s="22"/>
      <c r="E173" s="8" t="s">
        <v>6</v>
      </c>
      <c r="F173" s="8" t="s">
        <v>0</v>
      </c>
      <c r="G173" s="8"/>
      <c r="H173" s="5"/>
      <c r="I173" s="5"/>
      <c r="L173" s="22"/>
      <c r="M173" s="22"/>
      <c r="N173" s="22"/>
      <c r="O173" s="9"/>
    </row>
    <row r="174" spans="1:19" x14ac:dyDescent="0.35">
      <c r="B174" s="39" t="s">
        <v>28</v>
      </c>
      <c r="C174" s="40" t="e">
        <f>ROUND(C171,0)</f>
        <v>#NUM!</v>
      </c>
      <c r="E174" s="8"/>
      <c r="F174" s="8" t="s">
        <v>2</v>
      </c>
      <c r="G174" s="8"/>
      <c r="H174" s="5"/>
      <c r="I174" s="5"/>
    </row>
    <row r="175" spans="1:19" x14ac:dyDescent="0.35">
      <c r="B175" s="5"/>
      <c r="E175" s="8"/>
      <c r="F175" s="8" t="s">
        <v>27</v>
      </c>
      <c r="G175" s="8"/>
      <c r="H175" s="5"/>
      <c r="I175" s="5"/>
    </row>
    <row r="176" spans="1:19" x14ac:dyDescent="0.35">
      <c r="B176" s="5"/>
      <c r="E176" s="8"/>
      <c r="F176" s="8" t="s">
        <v>3</v>
      </c>
      <c r="G176" s="8"/>
      <c r="H176" s="8"/>
      <c r="I176" s="8"/>
    </row>
    <row r="177" spans="1:19" x14ac:dyDescent="0.35">
      <c r="B177" s="5"/>
      <c r="E177" s="29" t="s">
        <v>4</v>
      </c>
      <c r="F177" s="29" t="s">
        <v>0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x14ac:dyDescent="0.35">
      <c r="B178" s="5"/>
      <c r="E178" s="8"/>
      <c r="F178" s="8" t="s">
        <v>2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x14ac:dyDescent="0.35">
      <c r="B179" s="22"/>
      <c r="E179" s="8"/>
      <c r="F179" s="8" t="s">
        <v>27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x14ac:dyDescent="0.35">
      <c r="B180" s="22"/>
      <c r="E180" s="30"/>
      <c r="F180" s="30" t="s">
        <v>3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x14ac:dyDescent="0.35">
      <c r="B181" s="22"/>
      <c r="E181" s="8" t="s">
        <v>5</v>
      </c>
      <c r="F181" s="8" t="s">
        <v>0</v>
      </c>
      <c r="G181" s="8"/>
      <c r="H181" s="8"/>
      <c r="I181" s="8"/>
    </row>
    <row r="182" spans="1:19" x14ac:dyDescent="0.35">
      <c r="B182" s="22"/>
      <c r="E182" s="8"/>
      <c r="F182" s="8" t="s">
        <v>2</v>
      </c>
      <c r="G182" s="8"/>
      <c r="H182" s="8"/>
      <c r="I182" s="8"/>
    </row>
    <row r="183" spans="1:19" x14ac:dyDescent="0.35">
      <c r="B183" s="22"/>
      <c r="E183" s="8"/>
      <c r="F183" s="8" t="s">
        <v>27</v>
      </c>
      <c r="G183" s="8"/>
      <c r="H183" s="8"/>
      <c r="I183" s="8"/>
    </row>
    <row r="184" spans="1:19" x14ac:dyDescent="0.35">
      <c r="B184" s="22"/>
      <c r="E184" s="30"/>
      <c r="F184" s="30" t="s">
        <v>3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x14ac:dyDescent="0.35">
      <c r="B185" s="2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35">
      <c r="B186" s="2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35">
      <c r="A187" s="1">
        <f>A163+1</f>
        <v>2029</v>
      </c>
      <c r="B187" t="str">
        <f>CONCATENATE("(F = ",$B$5," in ",A187," onward)")</f>
        <v>(F = F40% in 2029 onward)</v>
      </c>
      <c r="F187" s="31"/>
      <c r="G187" s="27"/>
      <c r="H187" s="27"/>
    </row>
    <row r="188" spans="1:19" x14ac:dyDescent="0.35">
      <c r="B188" s="22"/>
      <c r="E188" s="30"/>
      <c r="F188" s="30"/>
      <c r="G188" s="30">
        <v>2020</v>
      </c>
      <c r="H188" s="30">
        <v>2021</v>
      </c>
      <c r="I188" s="30">
        <v>2022</v>
      </c>
      <c r="J188" s="30">
        <v>2023</v>
      </c>
      <c r="K188" s="30">
        <v>2024</v>
      </c>
      <c r="L188" s="30">
        <v>2025</v>
      </c>
      <c r="M188" s="30">
        <v>2026</v>
      </c>
      <c r="N188" s="30">
        <v>2027</v>
      </c>
      <c r="O188" s="30">
        <v>2028</v>
      </c>
      <c r="P188" s="30">
        <v>2029</v>
      </c>
      <c r="Q188" s="30">
        <v>2030</v>
      </c>
      <c r="R188" s="30">
        <v>2031</v>
      </c>
      <c r="S188" s="30">
        <v>2032</v>
      </c>
    </row>
    <row r="189" spans="1:19" x14ac:dyDescent="0.35">
      <c r="B189" t="s">
        <v>10</v>
      </c>
      <c r="C189" s="3">
        <f>HLOOKUP(($A187-1),G188:S189,2,FALSE)</f>
        <v>0</v>
      </c>
      <c r="E189" s="8" t="s">
        <v>1</v>
      </c>
      <c r="F189" s="8" t="s">
        <v>0</v>
      </c>
      <c r="G189" s="8"/>
      <c r="H189" s="5"/>
      <c r="I189" s="5"/>
      <c r="K189" s="22"/>
      <c r="L189" s="22"/>
      <c r="M189" s="22"/>
      <c r="N189" s="22"/>
      <c r="O189" s="9"/>
    </row>
    <row r="190" spans="1:19" x14ac:dyDescent="0.35">
      <c r="B190" t="s">
        <v>14</v>
      </c>
      <c r="C190" s="3">
        <f>HLOOKUP($A187,G188:S197,10,FALSE)</f>
        <v>0</v>
      </c>
      <c r="E190" s="8"/>
      <c r="F190" s="8" t="s">
        <v>2</v>
      </c>
      <c r="G190" s="8"/>
      <c r="H190" s="5"/>
      <c r="I190" s="5"/>
    </row>
    <row r="191" spans="1:19" x14ac:dyDescent="0.35">
      <c r="B191" t="s">
        <v>15</v>
      </c>
      <c r="C191" s="22">
        <f>C189/$C$6</f>
        <v>0</v>
      </c>
      <c r="E191" s="8"/>
      <c r="F191" s="8" t="s">
        <v>27</v>
      </c>
      <c r="G191" s="8"/>
      <c r="H191" s="5"/>
      <c r="I191" s="5"/>
    </row>
    <row r="192" spans="1:19" x14ac:dyDescent="0.35">
      <c r="B192" s="22" t="s">
        <v>12</v>
      </c>
      <c r="C192" s="23">
        <f>$C$19</f>
        <v>1</v>
      </c>
      <c r="E192" s="8"/>
      <c r="F192" s="8" t="s">
        <v>3</v>
      </c>
      <c r="G192" s="8"/>
      <c r="H192" s="5"/>
      <c r="I192" s="5"/>
    </row>
    <row r="193" spans="1:19" x14ac:dyDescent="0.35">
      <c r="B193" t="s">
        <v>16</v>
      </c>
      <c r="C193">
        <f>SQRT(LN(C192^2+1))</f>
        <v>0.83255461115769769</v>
      </c>
      <c r="E193" s="29" t="s">
        <v>9</v>
      </c>
      <c r="F193" s="29" t="s">
        <v>0</v>
      </c>
      <c r="G193" s="29"/>
      <c r="H193" s="32"/>
      <c r="I193" s="32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x14ac:dyDescent="0.35">
      <c r="A194" s="1"/>
      <c r="B194" t="s">
        <v>17</v>
      </c>
      <c r="C194" s="6">
        <f>IF(C191&gt;=1.5,0.49,IF(C191&lt;0.1,0,IF(C191&lt;1,-0.05+0.5*C191,0.08*(C191)+0.37)))</f>
        <v>0</v>
      </c>
      <c r="E194" s="8"/>
      <c r="F194" s="8" t="s">
        <v>2</v>
      </c>
      <c r="G194" s="8"/>
      <c r="H194" s="5"/>
      <c r="I194" s="5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x14ac:dyDescent="0.35">
      <c r="B195" s="1" t="s">
        <v>7</v>
      </c>
      <c r="C195" s="24" t="e">
        <f>_xlfn.LOGNORM.INV(C194,LN(C190),C193)</f>
        <v>#NUM!</v>
      </c>
      <c r="E195" s="8"/>
      <c r="F195" s="8" t="s">
        <v>27</v>
      </c>
      <c r="G195" s="8"/>
      <c r="H195" s="5"/>
      <c r="I195" s="5"/>
      <c r="J195" s="5"/>
      <c r="K195" s="8"/>
      <c r="L195" s="8"/>
      <c r="M195" s="8"/>
      <c r="N195" s="8"/>
      <c r="O195" s="8"/>
      <c r="P195" s="8"/>
      <c r="Q195" s="8"/>
      <c r="R195" s="8"/>
      <c r="S195" s="8"/>
    </row>
    <row r="196" spans="1:19" x14ac:dyDescent="0.35">
      <c r="B196" s="1" t="s">
        <v>18</v>
      </c>
      <c r="C196" t="e">
        <f>C195/C190</f>
        <v>#NUM!</v>
      </c>
      <c r="E196" s="30"/>
      <c r="F196" s="30" t="s">
        <v>3</v>
      </c>
      <c r="G196" s="30"/>
      <c r="H196" s="37"/>
      <c r="I196" s="37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x14ac:dyDescent="0.35">
      <c r="B197" s="22"/>
      <c r="E197" s="8" t="s">
        <v>6</v>
      </c>
      <c r="F197" s="8" t="s">
        <v>0</v>
      </c>
      <c r="G197" s="8"/>
      <c r="H197" s="5"/>
      <c r="I197" s="5"/>
      <c r="L197" s="22"/>
      <c r="M197" s="22"/>
      <c r="N197" s="22"/>
      <c r="O197" s="22"/>
      <c r="P197" s="9"/>
    </row>
    <row r="198" spans="1:19" x14ac:dyDescent="0.35">
      <c r="B198" s="39" t="s">
        <v>28</v>
      </c>
      <c r="C198" s="40" t="e">
        <f>ROUND(C195,0)</f>
        <v>#NUM!</v>
      </c>
      <c r="E198" s="8"/>
      <c r="F198" s="8" t="s">
        <v>2</v>
      </c>
      <c r="G198" s="8"/>
      <c r="H198" s="5"/>
      <c r="I198" s="5"/>
    </row>
    <row r="199" spans="1:19" x14ac:dyDescent="0.35">
      <c r="B199" s="5"/>
      <c r="E199" s="8"/>
      <c r="F199" s="8" t="s">
        <v>27</v>
      </c>
      <c r="G199" s="8"/>
      <c r="H199" s="5"/>
      <c r="I199" s="5"/>
    </row>
    <row r="200" spans="1:19" x14ac:dyDescent="0.35">
      <c r="B200" s="5"/>
      <c r="E200" s="8"/>
      <c r="F200" s="8" t="s">
        <v>3</v>
      </c>
      <c r="G200" s="8"/>
      <c r="H200" s="8"/>
      <c r="I200" s="8"/>
    </row>
    <row r="201" spans="1:19" x14ac:dyDescent="0.35">
      <c r="B201" s="5"/>
      <c r="E201" s="29" t="s">
        <v>4</v>
      </c>
      <c r="F201" s="29" t="s">
        <v>0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x14ac:dyDescent="0.35">
      <c r="B202" s="5"/>
      <c r="E202" s="8"/>
      <c r="F202" s="8" t="s">
        <v>2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x14ac:dyDescent="0.35">
      <c r="B203" s="22"/>
      <c r="E203" s="8"/>
      <c r="F203" s="8" t="s">
        <v>27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x14ac:dyDescent="0.35">
      <c r="B204" s="22"/>
      <c r="E204" s="30"/>
      <c r="F204" s="30" t="s">
        <v>3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x14ac:dyDescent="0.35">
      <c r="B205" s="22"/>
      <c r="E205" s="8" t="s">
        <v>5</v>
      </c>
      <c r="F205" s="8" t="s">
        <v>0</v>
      </c>
      <c r="G205" s="8"/>
      <c r="H205" s="8"/>
      <c r="I205" s="8"/>
    </row>
    <row r="206" spans="1:19" x14ac:dyDescent="0.35">
      <c r="B206" s="22"/>
      <c r="E206" s="8"/>
      <c r="F206" s="8" t="s">
        <v>2</v>
      </c>
      <c r="G206" s="8"/>
      <c r="H206" s="8"/>
      <c r="I206" s="8"/>
    </row>
    <row r="207" spans="1:19" x14ac:dyDescent="0.35">
      <c r="B207" s="22"/>
      <c r="E207" s="8"/>
      <c r="F207" s="8" t="s">
        <v>27</v>
      </c>
      <c r="G207" s="8"/>
      <c r="H207" s="8"/>
      <c r="I207" s="8"/>
    </row>
    <row r="208" spans="1:19" x14ac:dyDescent="0.35">
      <c r="B208" s="22"/>
      <c r="E208" s="30"/>
      <c r="F208" s="30" t="s">
        <v>3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11" spans="1:19" x14ac:dyDescent="0.35">
      <c r="A211" s="1">
        <f>A187+1</f>
        <v>2030</v>
      </c>
      <c r="B211" t="str">
        <f>CONCATENATE("(F = ",$B$5," in ",A211," onward)")</f>
        <v>(F = F40% in 2030 onward)</v>
      </c>
      <c r="F211" s="31"/>
      <c r="G211" s="27"/>
      <c r="H211" s="27"/>
    </row>
    <row r="212" spans="1:19" x14ac:dyDescent="0.35">
      <c r="B212" s="22"/>
      <c r="E212" s="30"/>
      <c r="F212" s="30"/>
      <c r="G212" s="30">
        <v>2020</v>
      </c>
      <c r="H212" s="30">
        <v>2021</v>
      </c>
      <c r="I212" s="30">
        <v>2022</v>
      </c>
      <c r="J212" s="30">
        <v>2023</v>
      </c>
      <c r="K212" s="30">
        <v>2024</v>
      </c>
      <c r="L212" s="30">
        <v>2025</v>
      </c>
      <c r="M212" s="30">
        <v>2026</v>
      </c>
      <c r="N212" s="30">
        <v>2027</v>
      </c>
      <c r="O212" s="30">
        <v>2028</v>
      </c>
      <c r="P212" s="30">
        <v>2029</v>
      </c>
      <c r="Q212" s="30">
        <v>2030</v>
      </c>
      <c r="R212" s="30">
        <v>2031</v>
      </c>
      <c r="S212" s="30">
        <v>2032</v>
      </c>
    </row>
    <row r="213" spans="1:19" x14ac:dyDescent="0.35">
      <c r="B213" t="s">
        <v>10</v>
      </c>
      <c r="C213" s="3">
        <f>HLOOKUP(($A211-1),G212:S213,2,FALSE)</f>
        <v>0</v>
      </c>
      <c r="E213" s="8" t="s">
        <v>1</v>
      </c>
      <c r="F213" s="8" t="s">
        <v>0</v>
      </c>
      <c r="G213" s="8"/>
      <c r="H213" s="5"/>
      <c r="I213" s="5"/>
      <c r="K213" s="22"/>
      <c r="L213" s="22"/>
      <c r="M213" s="22"/>
      <c r="N213" s="22"/>
      <c r="O213" s="22"/>
      <c r="P213" s="9"/>
    </row>
    <row r="214" spans="1:19" x14ac:dyDescent="0.35">
      <c r="B214" t="s">
        <v>14</v>
      </c>
      <c r="C214" s="3">
        <f>HLOOKUP($A211,G212:S221,10,FALSE)</f>
        <v>0</v>
      </c>
      <c r="E214" s="8"/>
      <c r="F214" s="8" t="s">
        <v>2</v>
      </c>
      <c r="G214" s="8"/>
      <c r="H214" s="5"/>
      <c r="I214" s="5"/>
    </row>
    <row r="215" spans="1:19" x14ac:dyDescent="0.35">
      <c r="B215" t="s">
        <v>15</v>
      </c>
      <c r="C215" s="22">
        <f>C213/$C$6</f>
        <v>0</v>
      </c>
      <c r="E215" s="8"/>
      <c r="F215" s="8" t="s">
        <v>27</v>
      </c>
      <c r="G215" s="8"/>
      <c r="H215" s="5"/>
      <c r="I215" s="5"/>
    </row>
    <row r="216" spans="1:19" x14ac:dyDescent="0.35">
      <c r="B216" s="22" t="s">
        <v>12</v>
      </c>
      <c r="C216" s="23">
        <f>$C$19</f>
        <v>1</v>
      </c>
      <c r="E216" s="8"/>
      <c r="F216" s="8" t="s">
        <v>3</v>
      </c>
      <c r="G216" s="8"/>
      <c r="H216" s="5"/>
      <c r="I216" s="5"/>
    </row>
    <row r="217" spans="1:19" x14ac:dyDescent="0.35">
      <c r="B217" t="s">
        <v>16</v>
      </c>
      <c r="C217">
        <f>SQRT(LN(C216^2+1))</f>
        <v>0.83255461115769769</v>
      </c>
      <c r="E217" s="29" t="s">
        <v>9</v>
      </c>
      <c r="F217" s="29" t="s">
        <v>0</v>
      </c>
      <c r="G217" s="29"/>
      <c r="H217" s="32"/>
      <c r="I217" s="32"/>
      <c r="J217" s="29"/>
      <c r="K217" s="29"/>
      <c r="L217" s="29"/>
      <c r="M217" s="29"/>
      <c r="N217" s="29"/>
      <c r="O217" s="29"/>
      <c r="P217" s="29"/>
      <c r="Q217" s="29"/>
      <c r="R217" s="29"/>
      <c r="S217" s="29"/>
    </row>
    <row r="218" spans="1:19" x14ac:dyDescent="0.35">
      <c r="A218" s="1"/>
      <c r="B218" t="s">
        <v>17</v>
      </c>
      <c r="C218" s="6">
        <f>IF(C215&gt;=1.5,0.49,IF(C215&lt;0.1,0,IF(C215&lt;1,-0.05+0.5*C215,0.08*(C215)+0.37)))</f>
        <v>0</v>
      </c>
      <c r="E218" s="8"/>
      <c r="F218" s="8" t="s">
        <v>2</v>
      </c>
      <c r="G218" s="8"/>
      <c r="H218" s="5"/>
      <c r="I218" s="5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x14ac:dyDescent="0.35">
      <c r="B219" s="1" t="s">
        <v>7</v>
      </c>
      <c r="C219" s="24" t="e">
        <f>_xlfn.LOGNORM.INV(C218,LN(C214),C217)</f>
        <v>#NUM!</v>
      </c>
      <c r="E219" s="8"/>
      <c r="F219" s="8" t="s">
        <v>27</v>
      </c>
      <c r="G219" s="8"/>
      <c r="H219" s="5"/>
      <c r="I219" s="5"/>
      <c r="J219" s="5"/>
      <c r="K219" s="8"/>
      <c r="L219" s="8"/>
      <c r="M219" s="8"/>
      <c r="N219" s="8"/>
      <c r="O219" s="8"/>
      <c r="P219" s="8"/>
      <c r="Q219" s="8"/>
      <c r="R219" s="8"/>
      <c r="S219" s="8"/>
    </row>
    <row r="220" spans="1:19" x14ac:dyDescent="0.35">
      <c r="B220" s="1" t="s">
        <v>18</v>
      </c>
      <c r="C220" t="e">
        <f>C219/C214</f>
        <v>#NUM!</v>
      </c>
      <c r="E220" s="30"/>
      <c r="F220" s="30" t="s">
        <v>3</v>
      </c>
      <c r="G220" s="30"/>
      <c r="H220" s="37"/>
      <c r="I220" s="37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x14ac:dyDescent="0.35">
      <c r="B221" s="22"/>
      <c r="E221" s="8" t="s">
        <v>6</v>
      </c>
      <c r="F221" s="8" t="s">
        <v>0</v>
      </c>
      <c r="G221" s="8"/>
      <c r="H221" s="5"/>
      <c r="I221" s="5"/>
      <c r="L221" s="22"/>
      <c r="M221" s="22"/>
      <c r="N221" s="22"/>
      <c r="O221" s="22"/>
      <c r="P221" s="22"/>
      <c r="Q221" s="9"/>
    </row>
    <row r="222" spans="1:19" x14ac:dyDescent="0.35">
      <c r="B222" s="39" t="s">
        <v>28</v>
      </c>
      <c r="C222" s="40" t="e">
        <f>ROUND(C219,0)</f>
        <v>#NUM!</v>
      </c>
      <c r="E222" s="8"/>
      <c r="F222" s="8" t="s">
        <v>2</v>
      </c>
      <c r="G222" s="8"/>
      <c r="H222" s="5"/>
      <c r="I222" s="5"/>
    </row>
    <row r="223" spans="1:19" x14ac:dyDescent="0.35">
      <c r="B223" s="5"/>
      <c r="E223" s="8"/>
      <c r="F223" s="8" t="s">
        <v>27</v>
      </c>
      <c r="G223" s="8"/>
      <c r="H223" s="5"/>
      <c r="I223" s="5"/>
    </row>
    <row r="224" spans="1:19" x14ac:dyDescent="0.35">
      <c r="B224" s="5"/>
      <c r="E224" s="8"/>
      <c r="F224" s="8" t="s">
        <v>3</v>
      </c>
      <c r="G224" s="8"/>
      <c r="H224" s="8"/>
      <c r="I224" s="8"/>
    </row>
    <row r="225" spans="1:19" x14ac:dyDescent="0.35">
      <c r="B225" s="5"/>
      <c r="E225" s="29" t="s">
        <v>4</v>
      </c>
      <c r="F225" s="29" t="s">
        <v>0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</row>
    <row r="226" spans="1:19" x14ac:dyDescent="0.35">
      <c r="B226" s="5"/>
      <c r="E226" s="8"/>
      <c r="F226" s="8" t="s">
        <v>2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x14ac:dyDescent="0.35">
      <c r="B227" s="22"/>
      <c r="E227" s="8"/>
      <c r="F227" s="8" t="s">
        <v>27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x14ac:dyDescent="0.35">
      <c r="B228" s="22"/>
      <c r="E228" s="30"/>
      <c r="F228" s="30" t="s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x14ac:dyDescent="0.35">
      <c r="B229" s="22"/>
      <c r="E229" s="8" t="s">
        <v>5</v>
      </c>
      <c r="F229" s="8" t="s">
        <v>0</v>
      </c>
      <c r="G229" s="8"/>
      <c r="H229" s="8"/>
      <c r="I229" s="8"/>
    </row>
    <row r="230" spans="1:19" x14ac:dyDescent="0.35">
      <c r="B230" s="22"/>
      <c r="E230" s="8"/>
      <c r="F230" s="8" t="s">
        <v>2</v>
      </c>
      <c r="G230" s="8"/>
      <c r="H230" s="8"/>
      <c r="I230" s="8"/>
    </row>
    <row r="231" spans="1:19" x14ac:dyDescent="0.35">
      <c r="B231" s="22"/>
      <c r="E231" s="8"/>
      <c r="F231" s="8" t="s">
        <v>27</v>
      </c>
      <c r="G231" s="8"/>
      <c r="H231" s="8"/>
      <c r="I231" s="8"/>
    </row>
    <row r="232" spans="1:19" x14ac:dyDescent="0.35">
      <c r="B232" s="22"/>
      <c r="E232" s="30"/>
      <c r="F232" s="30" t="s">
        <v>3</v>
      </c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5" spans="1:19" x14ac:dyDescent="0.35">
      <c r="A235" s="1">
        <f>A211+1</f>
        <v>2031</v>
      </c>
      <c r="B235" t="str">
        <f>CONCATENATE("(F = ",$B$5," in ",A235," onward)")</f>
        <v>(F = F40% in 2031 onward)</v>
      </c>
      <c r="F235" s="31"/>
      <c r="G235" s="27"/>
      <c r="H235" s="27"/>
    </row>
    <row r="236" spans="1:19" x14ac:dyDescent="0.35">
      <c r="B236" s="22"/>
      <c r="E236" s="30"/>
      <c r="F236" s="30"/>
      <c r="G236" s="30">
        <v>2020</v>
      </c>
      <c r="H236" s="30">
        <v>2021</v>
      </c>
      <c r="I236" s="30">
        <v>2022</v>
      </c>
      <c r="J236" s="30">
        <v>2023</v>
      </c>
      <c r="K236" s="30">
        <v>2024</v>
      </c>
      <c r="L236" s="30">
        <v>2025</v>
      </c>
      <c r="M236" s="30">
        <v>2026</v>
      </c>
      <c r="N236" s="30">
        <v>2027</v>
      </c>
      <c r="O236" s="30">
        <v>2028</v>
      </c>
      <c r="P236" s="30">
        <v>2029</v>
      </c>
      <c r="Q236" s="30">
        <v>2030</v>
      </c>
      <c r="R236" s="30">
        <v>2031</v>
      </c>
      <c r="S236" s="30">
        <v>2032</v>
      </c>
    </row>
    <row r="237" spans="1:19" x14ac:dyDescent="0.35">
      <c r="B237" t="s">
        <v>10</v>
      </c>
      <c r="C237" s="3">
        <f>HLOOKUP(($A235-1),G236:S237,2,FALSE)</f>
        <v>0</v>
      </c>
      <c r="E237" s="8" t="s">
        <v>1</v>
      </c>
      <c r="F237" s="8" t="s">
        <v>0</v>
      </c>
      <c r="G237" s="8"/>
      <c r="H237" s="5"/>
      <c r="I237" s="5"/>
      <c r="K237" s="22"/>
      <c r="L237" s="22"/>
      <c r="M237" s="22"/>
      <c r="N237" s="22"/>
      <c r="O237" s="22"/>
      <c r="P237" s="22"/>
      <c r="Q237" s="9"/>
    </row>
    <row r="238" spans="1:19" x14ac:dyDescent="0.35">
      <c r="B238" t="s">
        <v>14</v>
      </c>
      <c r="C238" s="3">
        <f>HLOOKUP($A235,G236:S245,10,FALSE)</f>
        <v>0</v>
      </c>
      <c r="E238" s="8"/>
      <c r="F238" s="8" t="s">
        <v>2</v>
      </c>
      <c r="G238" s="8"/>
      <c r="H238" s="5"/>
      <c r="I238" s="5"/>
    </row>
    <row r="239" spans="1:19" x14ac:dyDescent="0.35">
      <c r="B239" t="s">
        <v>15</v>
      </c>
      <c r="C239" s="22">
        <f>C237/$C$6</f>
        <v>0</v>
      </c>
      <c r="E239" s="8"/>
      <c r="F239" s="8" t="s">
        <v>27</v>
      </c>
      <c r="G239" s="8"/>
      <c r="H239" s="5"/>
      <c r="I239" s="5"/>
    </row>
    <row r="240" spans="1:19" x14ac:dyDescent="0.35">
      <c r="B240" s="22" t="s">
        <v>12</v>
      </c>
      <c r="C240" s="23">
        <f>$C$19</f>
        <v>1</v>
      </c>
      <c r="E240" s="8"/>
      <c r="F240" s="8" t="s">
        <v>3</v>
      </c>
      <c r="G240" s="8"/>
      <c r="H240" s="5"/>
      <c r="I240" s="5"/>
    </row>
    <row r="241" spans="1:19" x14ac:dyDescent="0.35">
      <c r="B241" t="s">
        <v>16</v>
      </c>
      <c r="C241">
        <f>SQRT(LN(C240^2+1))</f>
        <v>0.83255461115769769</v>
      </c>
      <c r="E241" s="29" t="s">
        <v>9</v>
      </c>
      <c r="F241" s="29" t="s">
        <v>0</v>
      </c>
      <c r="G241" s="29"/>
      <c r="H241" s="32"/>
      <c r="I241" s="32"/>
      <c r="J241" s="29"/>
      <c r="K241" s="29"/>
      <c r="L241" s="29"/>
      <c r="M241" s="29"/>
      <c r="N241" s="29"/>
      <c r="O241" s="29"/>
      <c r="P241" s="29"/>
      <c r="Q241" s="29"/>
      <c r="R241" s="29"/>
      <c r="S241" s="29"/>
    </row>
    <row r="242" spans="1:19" x14ac:dyDescent="0.35">
      <c r="A242" s="1"/>
      <c r="B242" t="s">
        <v>17</v>
      </c>
      <c r="C242" s="6">
        <f>IF(C239&gt;=1.5,0.49,IF(C239&lt;0.1,0,IF(C239&lt;1,-0.05+0.5*C239,0.08*(C239)+0.37)))</f>
        <v>0</v>
      </c>
      <c r="E242" s="8"/>
      <c r="F242" s="8" t="s">
        <v>2</v>
      </c>
      <c r="G242" s="8"/>
      <c r="H242" s="5"/>
      <c r="I242" s="5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x14ac:dyDescent="0.35">
      <c r="B243" s="1" t="s">
        <v>7</v>
      </c>
      <c r="C243" s="24" t="e">
        <f>_xlfn.LOGNORM.INV(C242,LN(C238),C241)</f>
        <v>#NUM!</v>
      </c>
      <c r="E243" s="8"/>
      <c r="F243" s="8" t="s">
        <v>27</v>
      </c>
      <c r="G243" s="8"/>
      <c r="H243" s="5"/>
      <c r="I243" s="5"/>
      <c r="J243" s="5"/>
      <c r="K243" s="8"/>
      <c r="L243" s="8"/>
      <c r="M243" s="8"/>
      <c r="N243" s="8"/>
      <c r="O243" s="8"/>
      <c r="P243" s="8"/>
      <c r="Q243" s="8"/>
      <c r="R243" s="8"/>
      <c r="S243" s="8"/>
    </row>
    <row r="244" spans="1:19" x14ac:dyDescent="0.35">
      <c r="B244" s="1" t="s">
        <v>18</v>
      </c>
      <c r="C244" t="e">
        <f>C243/C238</f>
        <v>#NUM!</v>
      </c>
      <c r="E244" s="30"/>
      <c r="F244" s="30" t="s">
        <v>3</v>
      </c>
      <c r="G244" s="30"/>
      <c r="H244" s="37"/>
      <c r="I244" s="37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x14ac:dyDescent="0.35">
      <c r="B245" s="22"/>
      <c r="E245" s="8" t="s">
        <v>6</v>
      </c>
      <c r="F245" s="8" t="s">
        <v>0</v>
      </c>
      <c r="G245" s="8"/>
      <c r="H245" s="5"/>
      <c r="I245" s="5"/>
      <c r="L245" s="22"/>
      <c r="M245" s="22"/>
      <c r="N245" s="22"/>
      <c r="O245" s="22"/>
      <c r="P245" s="22"/>
      <c r="Q245" s="22"/>
      <c r="R245" s="9"/>
    </row>
    <row r="246" spans="1:19" x14ac:dyDescent="0.35">
      <c r="B246" s="39" t="s">
        <v>28</v>
      </c>
      <c r="C246" s="40" t="e">
        <f>ROUND(C243,0)</f>
        <v>#NUM!</v>
      </c>
      <c r="E246" s="8"/>
      <c r="F246" s="8" t="s">
        <v>2</v>
      </c>
      <c r="G246" s="8"/>
      <c r="H246" s="5"/>
      <c r="I246" s="5"/>
    </row>
    <row r="247" spans="1:19" x14ac:dyDescent="0.35">
      <c r="B247" s="5"/>
      <c r="E247" s="8"/>
      <c r="F247" s="8" t="s">
        <v>27</v>
      </c>
      <c r="G247" s="8"/>
      <c r="H247" s="5"/>
      <c r="I247" s="5"/>
    </row>
    <row r="248" spans="1:19" x14ac:dyDescent="0.35">
      <c r="B248" s="5"/>
      <c r="E248" s="8"/>
      <c r="F248" s="8" t="s">
        <v>3</v>
      </c>
      <c r="G248" s="8"/>
      <c r="H248" s="8"/>
      <c r="I248" s="8"/>
    </row>
    <row r="249" spans="1:19" x14ac:dyDescent="0.35">
      <c r="B249" s="5"/>
      <c r="E249" s="29" t="s">
        <v>4</v>
      </c>
      <c r="F249" s="29" t="s">
        <v>0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</row>
    <row r="250" spans="1:19" x14ac:dyDescent="0.35">
      <c r="B250" s="5"/>
      <c r="E250" s="8"/>
      <c r="F250" s="8" t="s">
        <v>2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x14ac:dyDescent="0.35">
      <c r="B251" s="22"/>
      <c r="E251" s="8"/>
      <c r="F251" s="8" t="s">
        <v>27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x14ac:dyDescent="0.35">
      <c r="B252" s="22"/>
      <c r="E252" s="30"/>
      <c r="F252" s="30" t="s">
        <v>3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x14ac:dyDescent="0.35">
      <c r="B253" s="22"/>
      <c r="E253" s="8" t="s">
        <v>5</v>
      </c>
      <c r="F253" s="8" t="s">
        <v>0</v>
      </c>
      <c r="G253" s="8"/>
      <c r="H253" s="8"/>
      <c r="I253" s="8"/>
    </row>
    <row r="254" spans="1:19" x14ac:dyDescent="0.35">
      <c r="B254" s="22"/>
      <c r="E254" s="8"/>
      <c r="F254" s="8" t="s">
        <v>2</v>
      </c>
      <c r="G254" s="8"/>
      <c r="H254" s="8"/>
      <c r="I254" s="8"/>
    </row>
    <row r="255" spans="1:19" x14ac:dyDescent="0.35">
      <c r="B255" s="22"/>
      <c r="E255" s="8"/>
      <c r="F255" s="8" t="s">
        <v>27</v>
      </c>
      <c r="G255" s="8"/>
      <c r="H255" s="8"/>
      <c r="I255" s="8"/>
    </row>
    <row r="256" spans="1:19" x14ac:dyDescent="0.35">
      <c r="B256" s="22"/>
      <c r="E256" s="30"/>
      <c r="F256" s="30" t="s">
        <v>3</v>
      </c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9" spans="1:19" x14ac:dyDescent="0.35">
      <c r="A259" s="1">
        <f>A235+1</f>
        <v>2032</v>
      </c>
      <c r="B259" t="str">
        <f>CONCATENATE("(F = ",$B$5," in ",A259," onward)")</f>
        <v>(F = F40% in 2032 onward)</v>
      </c>
      <c r="F259" s="31"/>
      <c r="G259" s="27"/>
      <c r="H259" s="27"/>
    </row>
    <row r="260" spans="1:19" x14ac:dyDescent="0.35">
      <c r="B260" s="22"/>
      <c r="E260" s="30"/>
      <c r="F260" s="30"/>
      <c r="G260" s="30">
        <v>2020</v>
      </c>
      <c r="H260" s="30">
        <v>2021</v>
      </c>
      <c r="I260" s="30">
        <v>2022</v>
      </c>
      <c r="J260" s="30">
        <v>2023</v>
      </c>
      <c r="K260" s="30">
        <v>2024</v>
      </c>
      <c r="L260" s="30">
        <v>2025</v>
      </c>
      <c r="M260" s="30">
        <v>2026</v>
      </c>
      <c r="N260" s="30">
        <v>2027</v>
      </c>
      <c r="O260" s="30">
        <v>2028</v>
      </c>
      <c r="P260" s="30">
        <v>2029</v>
      </c>
      <c r="Q260" s="30">
        <v>2030</v>
      </c>
      <c r="R260" s="30">
        <v>2031</v>
      </c>
      <c r="S260" s="30">
        <v>2032</v>
      </c>
    </row>
    <row r="261" spans="1:19" x14ac:dyDescent="0.35">
      <c r="B261" t="s">
        <v>10</v>
      </c>
      <c r="C261" s="3">
        <f>HLOOKUP(($A259-1),G260:S261,2,FALSE)</f>
        <v>0</v>
      </c>
      <c r="E261" s="8" t="s">
        <v>1</v>
      </c>
      <c r="F261" s="8" t="s">
        <v>0</v>
      </c>
      <c r="G261" s="8"/>
      <c r="H261" s="5"/>
      <c r="I261" s="5"/>
      <c r="K261" s="22"/>
      <c r="L261" s="22"/>
      <c r="M261" s="22"/>
      <c r="N261" s="22"/>
      <c r="O261" s="22"/>
      <c r="P261" s="22"/>
      <c r="Q261" s="22"/>
      <c r="R261" s="9"/>
    </row>
    <row r="262" spans="1:19" x14ac:dyDescent="0.35">
      <c r="B262" t="s">
        <v>14</v>
      </c>
      <c r="C262" s="3">
        <f>HLOOKUP($A259,G260:S269,10,FALSE)</f>
        <v>0</v>
      </c>
      <c r="E262" s="8"/>
      <c r="F262" s="8" t="s">
        <v>2</v>
      </c>
      <c r="G262" s="8"/>
      <c r="H262" s="5"/>
      <c r="I262" s="5"/>
    </row>
    <row r="263" spans="1:19" x14ac:dyDescent="0.35">
      <c r="B263" t="s">
        <v>15</v>
      </c>
      <c r="C263" s="22">
        <f>C261/$C$6</f>
        <v>0</v>
      </c>
      <c r="E263" s="8"/>
      <c r="F263" s="8" t="s">
        <v>27</v>
      </c>
      <c r="G263" s="8"/>
      <c r="H263" s="5"/>
      <c r="I263" s="5"/>
    </row>
    <row r="264" spans="1:19" x14ac:dyDescent="0.35">
      <c r="B264" s="22" t="s">
        <v>12</v>
      </c>
      <c r="C264" s="23">
        <f>$C$19</f>
        <v>1</v>
      </c>
      <c r="E264" s="8"/>
      <c r="F264" s="8" t="s">
        <v>3</v>
      </c>
      <c r="G264" s="8"/>
      <c r="H264" s="5"/>
      <c r="I264" s="5"/>
    </row>
    <row r="265" spans="1:19" x14ac:dyDescent="0.35">
      <c r="B265" t="s">
        <v>16</v>
      </c>
      <c r="C265">
        <f>SQRT(LN(C264^2+1))</f>
        <v>0.83255461115769769</v>
      </c>
      <c r="E265" s="29" t="s">
        <v>9</v>
      </c>
      <c r="F265" s="29" t="s">
        <v>0</v>
      </c>
      <c r="G265" s="29"/>
      <c r="H265" s="32"/>
      <c r="I265" s="32"/>
      <c r="J265" s="29"/>
      <c r="K265" s="29"/>
      <c r="L265" s="29"/>
      <c r="M265" s="29"/>
      <c r="N265" s="29"/>
      <c r="O265" s="29"/>
      <c r="P265" s="29"/>
      <c r="Q265" s="29"/>
      <c r="R265" s="29"/>
      <c r="S265" s="29"/>
    </row>
    <row r="266" spans="1:19" x14ac:dyDescent="0.35">
      <c r="A266" s="1"/>
      <c r="B266" t="s">
        <v>17</v>
      </c>
      <c r="C266" s="6">
        <f>IF(C263&gt;=1.5,0.49,IF(C263&lt;0.1,0,IF(C263&lt;1,-0.05+0.5*C263,0.08*(C263)+0.37)))</f>
        <v>0</v>
      </c>
      <c r="E266" s="8"/>
      <c r="F266" s="8" t="s">
        <v>2</v>
      </c>
      <c r="G266" s="8"/>
      <c r="H266" s="5"/>
      <c r="I266" s="5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x14ac:dyDescent="0.35">
      <c r="B267" s="1" t="s">
        <v>7</v>
      </c>
      <c r="C267" s="24" t="e">
        <f>_xlfn.LOGNORM.INV(C266,LN(C262),C265)</f>
        <v>#NUM!</v>
      </c>
      <c r="E267" s="8"/>
      <c r="F267" s="8" t="s">
        <v>27</v>
      </c>
      <c r="G267" s="8"/>
      <c r="H267" s="5"/>
      <c r="I267" s="5"/>
      <c r="J267" s="5"/>
      <c r="K267" s="8"/>
      <c r="L267" s="8"/>
      <c r="M267" s="8"/>
      <c r="N267" s="8"/>
      <c r="O267" s="8"/>
      <c r="P267" s="8"/>
      <c r="Q267" s="8"/>
      <c r="R267" s="8"/>
      <c r="S267" s="8"/>
    </row>
    <row r="268" spans="1:19" x14ac:dyDescent="0.35">
      <c r="B268" s="1" t="s">
        <v>18</v>
      </c>
      <c r="C268" t="e">
        <f>C267/C262</f>
        <v>#NUM!</v>
      </c>
      <c r="E268" s="30"/>
      <c r="F268" s="30" t="s">
        <v>3</v>
      </c>
      <c r="G268" s="30"/>
      <c r="H268" s="37"/>
      <c r="I268" s="37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x14ac:dyDescent="0.35">
      <c r="B269" s="22"/>
      <c r="E269" s="8" t="s">
        <v>6</v>
      </c>
      <c r="F269" s="8" t="s">
        <v>0</v>
      </c>
      <c r="G269" s="8"/>
      <c r="H269" s="5"/>
      <c r="I269" s="5"/>
      <c r="L269" s="22"/>
      <c r="M269" s="22"/>
      <c r="N269" s="22"/>
      <c r="O269" s="22"/>
      <c r="P269" s="22"/>
      <c r="Q269" s="22"/>
      <c r="R269" s="22"/>
      <c r="S269" s="9"/>
    </row>
    <row r="270" spans="1:19" x14ac:dyDescent="0.35">
      <c r="B270" s="39" t="s">
        <v>28</v>
      </c>
      <c r="C270" s="40" t="e">
        <f>ROUND(C267,0)</f>
        <v>#NUM!</v>
      </c>
      <c r="E270" s="8"/>
      <c r="F270" s="8" t="s">
        <v>2</v>
      </c>
      <c r="G270" s="8"/>
      <c r="H270" s="5"/>
      <c r="I270" s="5"/>
    </row>
    <row r="271" spans="1:19" x14ac:dyDescent="0.35">
      <c r="B271" s="5"/>
      <c r="E271" s="8"/>
      <c r="F271" s="8" t="s">
        <v>27</v>
      </c>
      <c r="G271" s="8"/>
      <c r="H271" s="5"/>
      <c r="I271" s="5"/>
    </row>
    <row r="272" spans="1:19" x14ac:dyDescent="0.35">
      <c r="B272" s="5"/>
      <c r="E272" s="8"/>
      <c r="F272" s="8" t="s">
        <v>3</v>
      </c>
      <c r="G272" s="8"/>
      <c r="H272" s="8"/>
      <c r="I272" s="8"/>
    </row>
    <row r="273" spans="1:19" x14ac:dyDescent="0.35">
      <c r="B273" s="5"/>
      <c r="E273" s="29" t="s">
        <v>4</v>
      </c>
      <c r="F273" s="29" t="s">
        <v>0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</row>
    <row r="274" spans="1:19" x14ac:dyDescent="0.35">
      <c r="B274" s="5"/>
      <c r="E274" s="8"/>
      <c r="F274" s="8" t="s">
        <v>2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x14ac:dyDescent="0.35">
      <c r="B275" s="22"/>
      <c r="E275" s="8"/>
      <c r="F275" s="8" t="s">
        <v>27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x14ac:dyDescent="0.35">
      <c r="B276" s="22"/>
      <c r="E276" s="30"/>
      <c r="F276" s="30" t="s">
        <v>3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x14ac:dyDescent="0.35">
      <c r="B277" s="22"/>
      <c r="E277" s="8" t="s">
        <v>5</v>
      </c>
      <c r="F277" s="8" t="s">
        <v>0</v>
      </c>
      <c r="G277" s="8"/>
      <c r="H277" s="8"/>
      <c r="I277" s="8"/>
    </row>
    <row r="278" spans="1:19" x14ac:dyDescent="0.35">
      <c r="B278" s="22"/>
      <c r="E278" s="8"/>
      <c r="F278" s="8" t="s">
        <v>2</v>
      </c>
      <c r="G278" s="8"/>
      <c r="H278" s="8"/>
      <c r="I278" s="8"/>
    </row>
    <row r="279" spans="1:19" x14ac:dyDescent="0.35">
      <c r="B279" s="22"/>
      <c r="E279" s="8"/>
      <c r="F279" s="8" t="s">
        <v>27</v>
      </c>
      <c r="G279" s="8"/>
      <c r="H279" s="8"/>
      <c r="I279" s="8"/>
    </row>
    <row r="280" spans="1:19" x14ac:dyDescent="0.35">
      <c r="B280" s="22"/>
      <c r="E280" s="30"/>
      <c r="F280" s="30" t="s">
        <v>3</v>
      </c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3" spans="1:19" x14ac:dyDescent="0.35">
      <c r="A283" s="1">
        <f>A259</f>
        <v>2032</v>
      </c>
      <c r="B283" s="2" t="s">
        <v>19</v>
      </c>
      <c r="C283" s="22"/>
      <c r="D283" s="22"/>
      <c r="E283" s="22"/>
      <c r="F283" s="56"/>
      <c r="G283" s="27"/>
      <c r="H283" s="27"/>
      <c r="I283" s="22"/>
      <c r="J283" s="22"/>
      <c r="K283" s="22"/>
      <c r="L283" s="22"/>
      <c r="M283" s="22"/>
    </row>
    <row r="284" spans="1:19" x14ac:dyDescent="0.35">
      <c r="B284" s="22"/>
      <c r="E284" s="30"/>
      <c r="F284" s="30"/>
      <c r="G284" s="30">
        <v>2020</v>
      </c>
      <c r="H284" s="30">
        <v>2021</v>
      </c>
      <c r="I284" s="30">
        <v>2022</v>
      </c>
      <c r="J284" s="30">
        <v>2023</v>
      </c>
      <c r="K284" s="30">
        <v>2024</v>
      </c>
      <c r="L284" s="30">
        <v>2025</v>
      </c>
      <c r="M284" s="30">
        <v>2026</v>
      </c>
      <c r="N284" s="30">
        <v>2027</v>
      </c>
      <c r="O284" s="30">
        <v>2028</v>
      </c>
      <c r="P284" s="30">
        <v>2029</v>
      </c>
      <c r="Q284" s="30">
        <v>2030</v>
      </c>
      <c r="R284" s="30">
        <v>2031</v>
      </c>
      <c r="S284" s="30">
        <v>2032</v>
      </c>
    </row>
    <row r="285" spans="1:19" x14ac:dyDescent="0.35">
      <c r="B285" t="s">
        <v>10</v>
      </c>
      <c r="C285" s="3">
        <f>HLOOKUP(($A283),G284:S285,2,FALSE)</f>
        <v>0</v>
      </c>
      <c r="E285" s="8" t="s">
        <v>1</v>
      </c>
      <c r="F285" s="8" t="str">
        <f>F165</f>
        <v>Median</v>
      </c>
      <c r="G285" s="8"/>
      <c r="H285" s="5"/>
      <c r="I285" s="5"/>
      <c r="K285" s="22"/>
      <c r="L285" s="22"/>
      <c r="M285" s="22"/>
      <c r="N285" s="22"/>
      <c r="O285" s="22"/>
      <c r="P285" s="22"/>
      <c r="Q285" s="22"/>
      <c r="R285" s="22"/>
      <c r="S285" s="9"/>
    </row>
    <row r="286" spans="1:19" x14ac:dyDescent="0.35">
      <c r="B286" t="s">
        <v>15</v>
      </c>
      <c r="C286" s="22">
        <f>C285/$C$6</f>
        <v>0</v>
      </c>
      <c r="E286" s="8"/>
      <c r="F286" s="8" t="str">
        <f t="shared" ref="F286:F301" si="5">F166</f>
        <v>5th Percentile</v>
      </c>
      <c r="G286" s="8"/>
      <c r="H286" s="5"/>
      <c r="I286" s="5"/>
    </row>
    <row r="287" spans="1:19" x14ac:dyDescent="0.35">
      <c r="B287" s="22"/>
      <c r="C287" s="23"/>
      <c r="E287" s="8"/>
      <c r="F287" s="8" t="str">
        <f t="shared" si="5"/>
        <v>75th Percentile</v>
      </c>
      <c r="G287" s="8"/>
      <c r="H287" s="5"/>
      <c r="I287" s="5"/>
    </row>
    <row r="288" spans="1:19" x14ac:dyDescent="0.35">
      <c r="B288" s="22"/>
      <c r="C288" s="22"/>
      <c r="E288" s="8"/>
      <c r="F288" s="8" t="str">
        <f t="shared" si="5"/>
        <v>95th Percentile</v>
      </c>
      <c r="G288" s="8"/>
      <c r="H288" s="5"/>
      <c r="I288" s="5"/>
    </row>
    <row r="289" spans="1:19" x14ac:dyDescent="0.35">
      <c r="B289" s="22"/>
      <c r="C289" s="22"/>
      <c r="E289" s="29" t="s">
        <v>9</v>
      </c>
      <c r="F289" s="29" t="str">
        <f t="shared" si="5"/>
        <v>Median</v>
      </c>
      <c r="G289" s="29"/>
      <c r="H289" s="32"/>
      <c r="I289" s="32"/>
      <c r="J289" s="29"/>
      <c r="K289" s="29"/>
      <c r="L289" s="29"/>
      <c r="M289" s="29"/>
      <c r="N289" s="29"/>
      <c r="O289" s="29"/>
      <c r="P289" s="29"/>
      <c r="Q289" s="29"/>
      <c r="R289" s="29"/>
      <c r="S289" s="29"/>
    </row>
    <row r="290" spans="1:19" x14ac:dyDescent="0.35">
      <c r="A290" s="1"/>
      <c r="B290" s="22"/>
      <c r="C290" s="28"/>
      <c r="E290" s="8"/>
      <c r="F290" s="8" t="str">
        <f t="shared" si="5"/>
        <v>5th Percentile</v>
      </c>
      <c r="G290" s="8"/>
      <c r="H290" s="5"/>
      <c r="I290" s="5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x14ac:dyDescent="0.35">
      <c r="B291" s="38"/>
      <c r="C291" s="22"/>
      <c r="E291" s="8"/>
      <c r="F291" s="8" t="str">
        <f t="shared" si="5"/>
        <v>75th Percentile</v>
      </c>
      <c r="G291" s="8"/>
      <c r="H291" s="5"/>
      <c r="I291" s="5"/>
      <c r="J291" s="5"/>
      <c r="K291" s="8"/>
      <c r="L291" s="8"/>
      <c r="M291" s="8"/>
      <c r="N291" s="8"/>
      <c r="O291" s="8"/>
      <c r="P291" s="8"/>
      <c r="Q291" s="8"/>
      <c r="R291" s="8"/>
      <c r="S291" s="8"/>
    </row>
    <row r="292" spans="1:19" x14ac:dyDescent="0.35">
      <c r="B292" s="38"/>
      <c r="C292" s="22"/>
      <c r="E292" s="30"/>
      <c r="F292" s="30" t="str">
        <f t="shared" si="5"/>
        <v>95th Percentile</v>
      </c>
      <c r="G292" s="30"/>
      <c r="H292" s="37"/>
      <c r="I292" s="37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x14ac:dyDescent="0.35">
      <c r="B293" s="22"/>
      <c r="E293" s="8" t="s">
        <v>6</v>
      </c>
      <c r="F293" s="8" t="str">
        <f t="shared" si="5"/>
        <v>Median</v>
      </c>
      <c r="G293" s="8"/>
      <c r="H293" s="5"/>
      <c r="I293" s="5"/>
      <c r="L293" s="22"/>
      <c r="M293" s="22"/>
      <c r="N293" s="22"/>
      <c r="O293" s="22"/>
      <c r="P293" s="22"/>
      <c r="Q293" s="22"/>
      <c r="R293" s="22"/>
      <c r="S293" s="22"/>
    </row>
    <row r="294" spans="1:19" x14ac:dyDescent="0.35">
      <c r="B294" s="5"/>
      <c r="E294" s="8"/>
      <c r="F294" s="8" t="str">
        <f t="shared" si="5"/>
        <v>5th Percentile</v>
      </c>
      <c r="G294" s="8"/>
      <c r="H294" s="5"/>
      <c r="I294" s="5"/>
    </row>
    <row r="295" spans="1:19" x14ac:dyDescent="0.35">
      <c r="B295" s="5"/>
      <c r="E295" s="8"/>
      <c r="F295" s="8" t="str">
        <f t="shared" si="5"/>
        <v>75th Percentile</v>
      </c>
      <c r="G295" s="8"/>
      <c r="H295" s="5"/>
      <c r="I295" s="5"/>
    </row>
    <row r="296" spans="1:19" x14ac:dyDescent="0.35">
      <c r="B296" s="5"/>
      <c r="E296" s="8"/>
      <c r="F296" s="8" t="str">
        <f t="shared" si="5"/>
        <v>95th Percentile</v>
      </c>
      <c r="G296" s="8"/>
      <c r="H296" s="8"/>
      <c r="I296" s="8"/>
    </row>
    <row r="297" spans="1:19" x14ac:dyDescent="0.35">
      <c r="B297" s="5"/>
      <c r="E297" s="29" t="s">
        <v>4</v>
      </c>
      <c r="F297" s="29" t="str">
        <f t="shared" si="5"/>
        <v>Median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</row>
    <row r="298" spans="1:19" x14ac:dyDescent="0.35">
      <c r="B298" s="5"/>
      <c r="E298" s="8"/>
      <c r="F298" s="8" t="str">
        <f t="shared" si="5"/>
        <v>5th Percentile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x14ac:dyDescent="0.35">
      <c r="B299" s="22"/>
      <c r="E299" s="8"/>
      <c r="F299" s="8" t="str">
        <f t="shared" si="5"/>
        <v>75th Percentile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x14ac:dyDescent="0.35">
      <c r="B300" s="22"/>
      <c r="E300" s="30"/>
      <c r="F300" s="30" t="str">
        <f t="shared" si="5"/>
        <v>95th Percentile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x14ac:dyDescent="0.35">
      <c r="B301" s="22"/>
      <c r="E301" s="8" t="s">
        <v>5</v>
      </c>
      <c r="F301" s="8" t="str">
        <f t="shared" si="5"/>
        <v>Median</v>
      </c>
      <c r="G301" s="8"/>
      <c r="H301" s="8"/>
      <c r="I301" s="8"/>
    </row>
    <row r="302" spans="1:19" x14ac:dyDescent="0.35">
      <c r="B302" s="22"/>
      <c r="E302" s="8"/>
      <c r="F302" s="8" t="str">
        <f t="shared" ref="F302:F304" si="6">F182</f>
        <v>5th Percentile</v>
      </c>
      <c r="G302" s="8"/>
      <c r="H302" s="8"/>
      <c r="I302" s="8"/>
    </row>
    <row r="303" spans="1:19" x14ac:dyDescent="0.35">
      <c r="B303" s="22"/>
      <c r="E303" s="8"/>
      <c r="F303" s="8" t="str">
        <f t="shared" si="6"/>
        <v>75th Percentile</v>
      </c>
      <c r="G303" s="8"/>
      <c r="H303" s="8"/>
      <c r="I303" s="8"/>
    </row>
    <row r="304" spans="1:19" x14ac:dyDescent="0.35">
      <c r="B304" s="22"/>
      <c r="E304" s="30"/>
      <c r="F304" s="30" t="str">
        <f t="shared" si="6"/>
        <v>95th Percentile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11" spans="10:11" ht="14.5" customHeight="1" x14ac:dyDescent="0.35"/>
    <row r="316" spans="10:11" ht="16.5" customHeight="1" x14ac:dyDescent="0.35">
      <c r="J316" s="35"/>
      <c r="K316" s="33"/>
    </row>
    <row r="317" spans="10:11" ht="15" customHeight="1" x14ac:dyDescent="0.35">
      <c r="J317" s="35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FF0983EB3C041AF1AEA4B1776CF3D" ma:contentTypeVersion="16" ma:contentTypeDescription="Create a new document." ma:contentTypeScope="" ma:versionID="3b99f1acdc924d307447945f04692928">
  <xsd:schema xmlns:xsd="http://www.w3.org/2001/XMLSchema" xmlns:xs="http://www.w3.org/2001/XMLSchema" xmlns:p="http://schemas.microsoft.com/office/2006/metadata/properties" xmlns:ns2="0828a74d-2a10-4f39-8652-5d70f27fbd04" xmlns:ns3="52a5111d-dddf-4872-8e35-e0441c780081" targetNamespace="http://schemas.microsoft.com/office/2006/metadata/properties" ma:root="true" ma:fieldsID="055eb0b08e289eec5424e56bac43b2d5" ns2:_="" ns3:_="">
    <xsd:import namespace="0828a74d-2a10-4f39-8652-5d70f27fbd04"/>
    <xsd:import namespace="52a5111d-dddf-4872-8e35-e0441c7800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8a74d-2a10-4f39-8652-5d70f27f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111d-dddf-4872-8e35-e0441c780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EE766-870C-48F7-8C45-3E68D8A7290A}"/>
</file>

<file path=customXml/itemProps2.xml><?xml version="1.0" encoding="utf-8"?>
<ds:datastoreItem xmlns:ds="http://schemas.openxmlformats.org/officeDocument/2006/customXml" ds:itemID="{2283C99F-40DC-4D25-85EE-A59F3CD9326A}"/>
</file>

<file path=customXml/itemProps3.xml><?xml version="1.0" encoding="utf-8"?>
<ds:datastoreItem xmlns:ds="http://schemas.openxmlformats.org/officeDocument/2006/customXml" ds:itemID="{BA27EC84-2ECE-43D0-A4ED-C4C8F51FD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Fmsy.CV150.2Stanza</vt:lpstr>
      <vt:lpstr>Frebuild.CV150.2Stanza</vt:lpstr>
      <vt:lpstr>New.Template</vt:lpstr>
    </vt:vector>
  </TitlesOfParts>
  <Company>NEFSC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Kiersten.Curti</dc:creator>
  <cp:lastModifiedBy>Kiersten.Curti</cp:lastModifiedBy>
  <dcterms:created xsi:type="dcterms:W3CDTF">2021-06-30T12:59:47Z</dcterms:created>
  <dcterms:modified xsi:type="dcterms:W3CDTF">2022-03-08T19:10:59Z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0x010100CE0FF0983EB3C041AF1AEA4B1776CF3D</vt:lpwstr>
  </property>
</Properties>
</file>