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Documents\Committees\MAFMC SSC\2022\September\1_Dogfish\"/>
    </mc:Choice>
  </mc:AlternateContent>
  <xr:revisionPtr revIDLastSave="0" documentId="13_ncr:1_{72C71EA1-2F4F-4D0C-9254-5261CFED3C3C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Bas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E20" i="1"/>
  <c r="B16" i="1"/>
  <c r="B30" i="1"/>
  <c r="E61" i="1"/>
  <c r="E64" i="1" s="1"/>
  <c r="B61" i="1" s="1"/>
  <c r="B64" i="1" s="1"/>
  <c r="E31" i="1"/>
  <c r="B31" i="1" s="1"/>
  <c r="B34" i="1" s="1"/>
  <c r="E17" i="1"/>
  <c r="B17" i="1" s="1"/>
  <c r="B20" i="1" s="1"/>
  <c r="E65" i="1"/>
  <c r="E67" i="1" s="1"/>
  <c r="B60" i="1" s="1"/>
  <c r="B63" i="1"/>
  <c r="B33" i="1"/>
  <c r="E51" i="1"/>
  <c r="E53" i="1" s="1"/>
  <c r="B46" i="1" s="1"/>
  <c r="E47" i="1"/>
  <c r="E50" i="1" s="1"/>
  <c r="B47" i="1" s="1"/>
  <c r="B50" i="1" s="1"/>
  <c r="B49" i="1"/>
  <c r="B19" i="1"/>
  <c r="B35" i="1" l="1"/>
  <c r="B36" i="1" s="1"/>
  <c r="B65" i="1"/>
  <c r="B51" i="1"/>
  <c r="B21" i="1"/>
  <c r="B22" i="1" s="1"/>
  <c r="B52" i="1" l="1"/>
  <c r="B7" i="1"/>
  <c r="B66" i="1"/>
  <c r="B8" i="1"/>
  <c r="E35" i="1"/>
  <c r="E37" i="1" s="1"/>
  <c r="B6" i="1" s="1"/>
  <c r="E21" i="1"/>
  <c r="E23" i="1" l="1"/>
  <c r="B5" i="1" s="1"/>
</calcChain>
</file>

<file path=xl/sharedStrings.xml><?xml version="1.0" encoding="utf-8"?>
<sst xmlns="http://schemas.openxmlformats.org/spreadsheetml/2006/main" count="117" uniqueCount="50">
  <si>
    <t>OFL</t>
  </si>
  <si>
    <t>CV</t>
  </si>
  <si>
    <t>sigma</t>
  </si>
  <si>
    <t>P*</t>
  </si>
  <si>
    <t>B/Bmsy</t>
  </si>
  <si>
    <t>Typical</t>
  </si>
  <si>
    <t>ABC</t>
  </si>
  <si>
    <t>ABC/OFL</t>
  </si>
  <si>
    <t>Input OFL, B/Bmsy, and OFL SD to calculate the ABC</t>
  </si>
  <si>
    <t>SSB(2022)/SSB(2018)</t>
  </si>
  <si>
    <t>Calculation of putative 2019 ABC for Dogfish</t>
  </si>
  <si>
    <t>2023 ABC =  ABC(2019)*[SSB(2022)/SSB(2018)]</t>
  </si>
  <si>
    <t>SSBtarget</t>
  </si>
  <si>
    <t>OFL(2019)</t>
  </si>
  <si>
    <t>OFL(2023)=OFL(2019)*[SSB(2022)/SSB(2018)]</t>
  </si>
  <si>
    <t>SSB(2022)/SSBtarget</t>
  </si>
  <si>
    <t>SSBthreshold</t>
  </si>
  <si>
    <t>SSB(2022) 2-yr trawl survey average</t>
  </si>
  <si>
    <t>ABC(2019)  calculated to the left</t>
  </si>
  <si>
    <t>Assume OFL changes proportionally with stock biomass</t>
  </si>
  <si>
    <t>Accounts for P* decreasing with SSB at stock sizes below 1.5*SSBtarget</t>
  </si>
  <si>
    <t>Does not account for P* decreasing with stock size below 1.5*SSBtarget</t>
  </si>
  <si>
    <t>Assume ABC changes proportionally with 2018 swept area stock biomass</t>
  </si>
  <si>
    <t>Assume ABC changes proportionally with 2019 assessment projected SSB</t>
  </si>
  <si>
    <t>Method 1b</t>
  </si>
  <si>
    <t>Method 1a</t>
  </si>
  <si>
    <t>Source</t>
  </si>
  <si>
    <t xml:space="preserve">OFL(2019) </t>
  </si>
  <si>
    <t>Table 11a 2018 assessment</t>
  </si>
  <si>
    <t>2018 assessment</t>
  </si>
  <si>
    <t xml:space="preserve">SSB(2019) </t>
  </si>
  <si>
    <t>2018 assessment projection (table 11a)</t>
  </si>
  <si>
    <t xml:space="preserve">SSB(2022) </t>
  </si>
  <si>
    <t>2-yr trawl survey average</t>
  </si>
  <si>
    <t xml:space="preserve">SSB(2018) </t>
  </si>
  <si>
    <t>3-yr trawl survey average</t>
  </si>
  <si>
    <t>Method 2a</t>
  </si>
  <si>
    <t>Method 2b</t>
  </si>
  <si>
    <t>SSB(2022)/SSB(2019)</t>
  </si>
  <si>
    <t>OFL(2023)=OFL(2019)*[SSB(2022)/SSB(2019)]</t>
  </si>
  <si>
    <t>Method</t>
  </si>
  <si>
    <t>1a</t>
  </si>
  <si>
    <t>1b</t>
  </si>
  <si>
    <t>2a</t>
  </si>
  <si>
    <t>2b</t>
  </si>
  <si>
    <t>Summary table of potential ABCs for 2023 for Spiny Dogfish.  Please see the tables below for the description and calculations for each method.</t>
  </si>
  <si>
    <t>Note the cells where ABCs are calculated are shaded blue below.</t>
  </si>
  <si>
    <t>A 100% CV was used for the OFL distribution for all ABC calculations as was done for previous Spiny Dogfish ABCs.</t>
  </si>
  <si>
    <t>2023 ABC =  ABC(2019)*[SSB(2022)/SSB(2019)]</t>
  </si>
  <si>
    <t>2018 assessment projection (Table 11a)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</si>
</sst>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2" borderId="0" xfId="0" applyFill="1"/>
    <xf numFmtId="0" fontId="0" fillId="3" borderId="0" xfId="0" applyFill="1"/>
    <xf numFmtId="9" fontId="0" fillId="2" borderId="0" xfId="1" applyFont="1" applyFill="1"/>
    <xf numFmtId="0" fontId="0" fillId="4" borderId="0" xfId="0" applyFill="1"/>
    <xf numFmtId="0" fontId="0" fillId="5" borderId="0" xfId="0" applyFill="1"/>
    <xf numFmtId="0" fontId="2" fillId="6" borderId="1" xfId="0" applyFont="1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3" fillId="6" borderId="5" xfId="0" applyFont="1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0" xfId="0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5" borderId="9" xfId="0" applyFill="1" applyBorder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"/>
  <sheetViews>
    <sheetView tabSelected="1" zoomScale="230" zoomScaleNormal="230" workbookViewId="0">
      <selection activeCell="E35" sqref="E35"/>
    </sheetView>
  </sheetViews>
  <sheetFormatPr defaultRowHeight="14.5" x14ac:dyDescent="0.35"/>
  <cols>
    <col min="1" max="1" width="10.08984375" customWidth="1"/>
    <col min="4" max="4" width="39.08984375" customWidth="1"/>
    <col min="7" max="7" width="20.81640625" bestFit="1" customWidth="1"/>
  </cols>
  <sheetData>
    <row r="1" spans="1:9" x14ac:dyDescent="0.35">
      <c r="A1" s="15" t="s">
        <v>45</v>
      </c>
      <c r="B1" s="15"/>
      <c r="C1" s="15"/>
      <c r="D1" s="15"/>
      <c r="E1" s="15"/>
      <c r="F1" s="15"/>
      <c r="G1" s="15"/>
      <c r="H1" s="15"/>
      <c r="I1" s="15"/>
    </row>
    <row r="2" spans="1:9" x14ac:dyDescent="0.35">
      <c r="A2" s="20" t="s">
        <v>46</v>
      </c>
    </row>
    <row r="3" spans="1:9" x14ac:dyDescent="0.35">
      <c r="A3" s="20" t="s">
        <v>47</v>
      </c>
    </row>
    <row r="4" spans="1:9" x14ac:dyDescent="0.35">
      <c r="A4" s="16" t="s">
        <v>40</v>
      </c>
      <c r="B4" s="17" t="s">
        <v>6</v>
      </c>
    </row>
    <row r="5" spans="1:9" x14ac:dyDescent="0.35">
      <c r="A5" t="s">
        <v>41</v>
      </c>
      <c r="B5" s="7">
        <f>E23</f>
        <v>7787.8469499592884</v>
      </c>
    </row>
    <row r="6" spans="1:9" x14ac:dyDescent="0.35">
      <c r="A6" t="s">
        <v>42</v>
      </c>
      <c r="B6" s="7">
        <f>E37</f>
        <v>7659.68805417563</v>
      </c>
    </row>
    <row r="7" spans="1:9" x14ac:dyDescent="0.35">
      <c r="A7" t="s">
        <v>43</v>
      </c>
      <c r="B7" s="7">
        <f>B51</f>
        <v>5314.7285196065677</v>
      </c>
    </row>
    <row r="8" spans="1:9" x14ac:dyDescent="0.35">
      <c r="A8" s="18" t="s">
        <v>44</v>
      </c>
      <c r="B8" s="19">
        <f>B65</f>
        <v>4837.3936389592536</v>
      </c>
    </row>
    <row r="10" spans="1:9" ht="15" thickBot="1" x14ac:dyDescent="0.4"/>
    <row r="11" spans="1:9" x14ac:dyDescent="0.35">
      <c r="A11" s="8" t="s">
        <v>25</v>
      </c>
      <c r="B11" s="9" t="s">
        <v>22</v>
      </c>
      <c r="C11" s="9"/>
      <c r="D11" s="9"/>
      <c r="E11" s="10"/>
    </row>
    <row r="12" spans="1:9" ht="15" thickBot="1" x14ac:dyDescent="0.4">
      <c r="A12" s="11"/>
      <c r="B12" s="12" t="s">
        <v>21</v>
      </c>
      <c r="C12" s="13"/>
      <c r="D12" s="13"/>
      <c r="E12" s="14"/>
    </row>
    <row r="13" spans="1:9" x14ac:dyDescent="0.35">
      <c r="A13" t="s">
        <v>8</v>
      </c>
    </row>
    <row r="14" spans="1:9" x14ac:dyDescent="0.35">
      <c r="A14" s="2" t="s">
        <v>5</v>
      </c>
    </row>
    <row r="15" spans="1:9" x14ac:dyDescent="0.35">
      <c r="A15" t="s">
        <v>10</v>
      </c>
      <c r="F15" t="s">
        <v>26</v>
      </c>
    </row>
    <row r="16" spans="1:9" x14ac:dyDescent="0.35">
      <c r="A16" t="s">
        <v>0</v>
      </c>
      <c r="B16" s="3">
        <f>E16</f>
        <v>21549</v>
      </c>
      <c r="D16" t="s">
        <v>13</v>
      </c>
      <c r="E16">
        <v>21549</v>
      </c>
      <c r="F16" t="s">
        <v>49</v>
      </c>
    </row>
    <row r="17" spans="1:6" x14ac:dyDescent="0.35">
      <c r="A17" t="s">
        <v>4</v>
      </c>
      <c r="B17" s="3">
        <f>E18/E17</f>
        <v>0.64251544372457425</v>
      </c>
      <c r="D17" t="s">
        <v>12</v>
      </c>
      <c r="E17">
        <f>2*E22</f>
        <v>159.28800000000001</v>
      </c>
      <c r="F17" t="s">
        <v>29</v>
      </c>
    </row>
    <row r="18" spans="1:6" x14ac:dyDescent="0.35">
      <c r="A18" t="s">
        <v>1</v>
      </c>
      <c r="B18" s="5">
        <v>1</v>
      </c>
      <c r="D18" t="s">
        <v>34</v>
      </c>
      <c r="E18">
        <v>102.345</v>
      </c>
      <c r="F18" t="s">
        <v>35</v>
      </c>
    </row>
    <row r="19" spans="1:6" x14ac:dyDescent="0.35">
      <c r="A19" t="s">
        <v>2</v>
      </c>
      <c r="B19">
        <f>SQRT(LN(B18^2+1))</f>
        <v>0.83255461115769769</v>
      </c>
      <c r="D19" t="s">
        <v>17</v>
      </c>
      <c r="E19">
        <v>61.412999999999997</v>
      </c>
      <c r="F19" t="s">
        <v>33</v>
      </c>
    </row>
    <row r="20" spans="1:6" x14ac:dyDescent="0.35">
      <c r="A20" t="s">
        <v>3</v>
      </c>
      <c r="B20" s="1">
        <f>IF(B17&gt;=1.5,0.49,IF(B17&lt;0.1,0,IF(B17&lt;1,-0.05+0.5*B17,0.08*(B17)+0.37)))</f>
        <v>0.27125772186228714</v>
      </c>
      <c r="D20" t="s">
        <v>9</v>
      </c>
      <c r="E20">
        <f>E19/E18</f>
        <v>0.600058625238165</v>
      </c>
    </row>
    <row r="21" spans="1:6" x14ac:dyDescent="0.35">
      <c r="A21" s="2" t="s">
        <v>6</v>
      </c>
      <c r="B21" s="4">
        <f>_xlfn.LOGNORM.INV(B20,LN(B16),B19)</f>
        <v>12978.476806109185</v>
      </c>
      <c r="D21" t="s">
        <v>18</v>
      </c>
      <c r="E21">
        <f>B21</f>
        <v>12978.476806109185</v>
      </c>
    </row>
    <row r="22" spans="1:6" x14ac:dyDescent="0.35">
      <c r="A22" s="2" t="s">
        <v>7</v>
      </c>
      <c r="B22">
        <f>B21/B16</f>
        <v>0.60227745167335767</v>
      </c>
      <c r="D22" t="s">
        <v>16</v>
      </c>
      <c r="E22">
        <v>79.644000000000005</v>
      </c>
      <c r="F22" t="s">
        <v>29</v>
      </c>
    </row>
    <row r="23" spans="1:6" x14ac:dyDescent="0.35">
      <c r="D23" t="s">
        <v>11</v>
      </c>
      <c r="E23" s="7">
        <f>E20*E21</f>
        <v>7787.8469499592884</v>
      </c>
    </row>
    <row r="24" spans="1:6" ht="15" thickBot="1" x14ac:dyDescent="0.4"/>
    <row r="25" spans="1:6" x14ac:dyDescent="0.35">
      <c r="A25" s="8" t="s">
        <v>24</v>
      </c>
      <c r="B25" s="9" t="s">
        <v>23</v>
      </c>
      <c r="C25" s="9"/>
      <c r="D25" s="9"/>
      <c r="E25" s="10"/>
    </row>
    <row r="26" spans="1:6" ht="15" thickBot="1" x14ac:dyDescent="0.4">
      <c r="A26" s="11"/>
      <c r="B26" s="12" t="s">
        <v>21</v>
      </c>
      <c r="C26" s="13"/>
      <c r="D26" s="13"/>
      <c r="E26" s="14"/>
    </row>
    <row r="27" spans="1:6" x14ac:dyDescent="0.35">
      <c r="A27" t="s">
        <v>8</v>
      </c>
    </row>
    <row r="28" spans="1:6" x14ac:dyDescent="0.35">
      <c r="A28" s="2" t="s">
        <v>5</v>
      </c>
    </row>
    <row r="29" spans="1:6" x14ac:dyDescent="0.35">
      <c r="A29" t="s">
        <v>10</v>
      </c>
      <c r="F29" t="s">
        <v>26</v>
      </c>
    </row>
    <row r="30" spans="1:6" x14ac:dyDescent="0.35">
      <c r="A30" t="s">
        <v>0</v>
      </c>
      <c r="B30" s="3">
        <f>E30</f>
        <v>21549</v>
      </c>
      <c r="D30" t="s">
        <v>27</v>
      </c>
      <c r="E30" s="6">
        <v>21549</v>
      </c>
      <c r="F30" t="s">
        <v>28</v>
      </c>
    </row>
    <row r="31" spans="1:6" x14ac:dyDescent="0.35">
      <c r="A31" t="s">
        <v>4</v>
      </c>
      <c r="B31" s="3">
        <f>E32/E31</f>
        <v>0.70591632765807844</v>
      </c>
      <c r="D31" t="s">
        <v>12</v>
      </c>
      <c r="E31">
        <f>2*E36</f>
        <v>159.28800000000001</v>
      </c>
      <c r="F31" t="s">
        <v>29</v>
      </c>
    </row>
    <row r="32" spans="1:6" x14ac:dyDescent="0.35">
      <c r="A32" t="s">
        <v>1</v>
      </c>
      <c r="B32" s="5">
        <v>1</v>
      </c>
      <c r="D32" t="s">
        <v>30</v>
      </c>
      <c r="E32">
        <v>112.444</v>
      </c>
      <c r="F32" t="s">
        <v>49</v>
      </c>
    </row>
    <row r="33" spans="1:6" x14ac:dyDescent="0.35">
      <c r="A33" t="s">
        <v>2</v>
      </c>
      <c r="B33">
        <f>SQRT(LN(B32^2+1))</f>
        <v>0.83255461115769769</v>
      </c>
      <c r="D33" t="s">
        <v>32</v>
      </c>
      <c r="E33">
        <v>61.412999999999997</v>
      </c>
      <c r="F33" t="s">
        <v>33</v>
      </c>
    </row>
    <row r="34" spans="1:6" x14ac:dyDescent="0.35">
      <c r="A34" t="s">
        <v>3</v>
      </c>
      <c r="B34" s="1">
        <f>IF(B31&gt;=1.5,0.49,IF(B31&lt;0.1,0,IF(B31&lt;1,-0.05+0.5*B31,0.08*(B31)+0.37)))</f>
        <v>0.30295816382903923</v>
      </c>
      <c r="D34" t="s">
        <v>38</v>
      </c>
      <c r="E34">
        <f>E33/E32</f>
        <v>0.54616520223400089</v>
      </c>
    </row>
    <row r="35" spans="1:6" x14ac:dyDescent="0.35">
      <c r="A35" s="2" t="s">
        <v>6</v>
      </c>
      <c r="B35" s="4">
        <f>_xlfn.LOGNORM.INV(B34,LN(B30),B33)</f>
        <v>14024.489335543363</v>
      </c>
      <c r="D35" t="s">
        <v>18</v>
      </c>
      <c r="E35">
        <f>B35</f>
        <v>14024.489335543363</v>
      </c>
    </row>
    <row r="36" spans="1:6" x14ac:dyDescent="0.35">
      <c r="A36" s="2" t="s">
        <v>7</v>
      </c>
      <c r="B36">
        <f>B35/B30</f>
        <v>0.65081856863628773</v>
      </c>
      <c r="D36" t="s">
        <v>16</v>
      </c>
      <c r="E36">
        <v>79.644000000000005</v>
      </c>
      <c r="F36" t="s">
        <v>29</v>
      </c>
    </row>
    <row r="37" spans="1:6" x14ac:dyDescent="0.35">
      <c r="D37" t="s">
        <v>48</v>
      </c>
      <c r="E37" s="7">
        <f>E34*E35</f>
        <v>7659.68805417563</v>
      </c>
    </row>
    <row r="40" spans="1:6" ht="15" thickBot="1" x14ac:dyDescent="0.4"/>
    <row r="41" spans="1:6" x14ac:dyDescent="0.35">
      <c r="A41" s="8" t="s">
        <v>36</v>
      </c>
      <c r="B41" s="9" t="s">
        <v>19</v>
      </c>
      <c r="C41" s="9"/>
      <c r="D41" s="9"/>
      <c r="E41" s="10"/>
    </row>
    <row r="42" spans="1:6" ht="15" thickBot="1" x14ac:dyDescent="0.4">
      <c r="A42" s="11"/>
      <c r="B42" s="12" t="s">
        <v>20</v>
      </c>
      <c r="C42" s="13"/>
      <c r="D42" s="13"/>
      <c r="E42" s="14"/>
    </row>
    <row r="43" spans="1:6" x14ac:dyDescent="0.35">
      <c r="A43" t="s">
        <v>8</v>
      </c>
    </row>
    <row r="44" spans="1:6" x14ac:dyDescent="0.35">
      <c r="A44" s="2" t="s">
        <v>5</v>
      </c>
    </row>
    <row r="45" spans="1:6" x14ac:dyDescent="0.35">
      <c r="A45" t="s">
        <v>10</v>
      </c>
      <c r="F45" t="s">
        <v>26</v>
      </c>
    </row>
    <row r="46" spans="1:6" x14ac:dyDescent="0.35">
      <c r="A46" t="s">
        <v>0</v>
      </c>
      <c r="B46" s="3">
        <f>E53</f>
        <v>12930.663315257218</v>
      </c>
      <c r="D46" t="s">
        <v>13</v>
      </c>
      <c r="E46" s="6">
        <v>21549</v>
      </c>
      <c r="F46" t="s">
        <v>28</v>
      </c>
    </row>
    <row r="47" spans="1:6" x14ac:dyDescent="0.35">
      <c r="A47" t="s">
        <v>4</v>
      </c>
      <c r="B47" s="3">
        <f>E50</f>
        <v>0.38554693385565764</v>
      </c>
      <c r="D47" t="s">
        <v>12</v>
      </c>
      <c r="E47">
        <f>E52*2</f>
        <v>159.28800000000001</v>
      </c>
      <c r="F47" t="s">
        <v>29</v>
      </c>
    </row>
    <row r="48" spans="1:6" x14ac:dyDescent="0.35">
      <c r="A48" t="s">
        <v>1</v>
      </c>
      <c r="B48" s="5">
        <v>1</v>
      </c>
      <c r="D48" t="s">
        <v>34</v>
      </c>
      <c r="E48">
        <v>102.345</v>
      </c>
      <c r="F48" t="s">
        <v>35</v>
      </c>
    </row>
    <row r="49" spans="1:6" x14ac:dyDescent="0.35">
      <c r="A49" t="s">
        <v>2</v>
      </c>
      <c r="B49">
        <f>SQRT(LN(B48^2+1))</f>
        <v>0.83255461115769769</v>
      </c>
      <c r="D49" t="s">
        <v>17</v>
      </c>
      <c r="E49">
        <v>61.412999999999997</v>
      </c>
      <c r="F49" t="s">
        <v>33</v>
      </c>
    </row>
    <row r="50" spans="1:6" x14ac:dyDescent="0.35">
      <c r="A50" t="s">
        <v>3</v>
      </c>
      <c r="B50" s="1">
        <f>IF(B47&gt;=1.5,0.49,IF(B47&lt;0.1,0,IF(B47&lt;1,-0.05+0.5*B47,0.08*(B47)+0.37)))</f>
        <v>0.14277346692782883</v>
      </c>
      <c r="D50" t="s">
        <v>15</v>
      </c>
      <c r="E50">
        <f>E49/E47</f>
        <v>0.38554693385565764</v>
      </c>
    </row>
    <row r="51" spans="1:6" x14ac:dyDescent="0.35">
      <c r="A51" s="2" t="s">
        <v>6</v>
      </c>
      <c r="B51" s="7">
        <f>_xlfn.LOGNORM.INV(B50,LN(B46),B49)</f>
        <v>5314.7285196065677</v>
      </c>
      <c r="D51" t="s">
        <v>9</v>
      </c>
      <c r="E51">
        <f>E49/E48</f>
        <v>0.600058625238165</v>
      </c>
    </row>
    <row r="52" spans="1:6" x14ac:dyDescent="0.35">
      <c r="A52" s="2" t="s">
        <v>7</v>
      </c>
      <c r="B52">
        <f>B51/B46</f>
        <v>0.4110174698722211</v>
      </c>
      <c r="D52" t="s">
        <v>16</v>
      </c>
      <c r="E52">
        <v>79.644000000000005</v>
      </c>
      <c r="F52" t="s">
        <v>29</v>
      </c>
    </row>
    <row r="53" spans="1:6" x14ac:dyDescent="0.35">
      <c r="D53" t="s">
        <v>14</v>
      </c>
      <c r="E53">
        <f>E51*E46</f>
        <v>12930.663315257218</v>
      </c>
    </row>
    <row r="54" spans="1:6" ht="15" thickBot="1" x14ac:dyDescent="0.4"/>
    <row r="55" spans="1:6" x14ac:dyDescent="0.35">
      <c r="A55" s="8" t="s">
        <v>37</v>
      </c>
      <c r="B55" s="9" t="s">
        <v>19</v>
      </c>
      <c r="C55" s="9"/>
      <c r="D55" s="9"/>
      <c r="E55" s="10"/>
    </row>
    <row r="56" spans="1:6" ht="15" thickBot="1" x14ac:dyDescent="0.4">
      <c r="A56" s="11"/>
      <c r="B56" s="12" t="s">
        <v>20</v>
      </c>
      <c r="C56" s="13"/>
      <c r="D56" s="13"/>
      <c r="E56" s="14"/>
    </row>
    <row r="57" spans="1:6" x14ac:dyDescent="0.35">
      <c r="A57" t="s">
        <v>8</v>
      </c>
    </row>
    <row r="58" spans="1:6" x14ac:dyDescent="0.35">
      <c r="A58" s="2" t="s">
        <v>5</v>
      </c>
    </row>
    <row r="59" spans="1:6" x14ac:dyDescent="0.35">
      <c r="A59" t="s">
        <v>10</v>
      </c>
      <c r="F59" t="s">
        <v>26</v>
      </c>
    </row>
    <row r="60" spans="1:6" x14ac:dyDescent="0.35">
      <c r="A60" t="s">
        <v>0</v>
      </c>
      <c r="B60" s="3">
        <f>E67</f>
        <v>11769.313942940486</v>
      </c>
      <c r="D60" t="s">
        <v>27</v>
      </c>
      <c r="E60" s="6">
        <v>21549</v>
      </c>
      <c r="F60" t="s">
        <v>28</v>
      </c>
    </row>
    <row r="61" spans="1:6" x14ac:dyDescent="0.35">
      <c r="A61" t="s">
        <v>4</v>
      </c>
      <c r="B61" s="3">
        <f>E64</f>
        <v>0.38554693385565764</v>
      </c>
      <c r="D61" t="s">
        <v>12</v>
      </c>
      <c r="E61">
        <f>2*E66</f>
        <v>159.28800000000001</v>
      </c>
      <c r="F61" t="s">
        <v>29</v>
      </c>
    </row>
    <row r="62" spans="1:6" x14ac:dyDescent="0.35">
      <c r="A62" t="s">
        <v>1</v>
      </c>
      <c r="B62" s="5">
        <v>1</v>
      </c>
      <c r="D62" t="s">
        <v>30</v>
      </c>
      <c r="E62">
        <v>112.444</v>
      </c>
      <c r="F62" t="s">
        <v>31</v>
      </c>
    </row>
    <row r="63" spans="1:6" x14ac:dyDescent="0.35">
      <c r="A63" t="s">
        <v>2</v>
      </c>
      <c r="B63">
        <f>SQRT(LN(B62^2+1))</f>
        <v>0.83255461115769769</v>
      </c>
      <c r="D63" t="s">
        <v>32</v>
      </c>
      <c r="E63">
        <v>61.412999999999997</v>
      </c>
      <c r="F63" t="s">
        <v>33</v>
      </c>
    </row>
    <row r="64" spans="1:6" x14ac:dyDescent="0.35">
      <c r="A64" t="s">
        <v>3</v>
      </c>
      <c r="B64" s="1">
        <f>IF(B61&gt;=1.5,0.49,IF(B61&lt;0.1,0,IF(B61&lt;1,-0.05+0.5*B61,0.08*(B61)+0.37)))</f>
        <v>0.14277346692782883</v>
      </c>
      <c r="D64" t="s">
        <v>15</v>
      </c>
      <c r="E64">
        <f>E63/E61</f>
        <v>0.38554693385565764</v>
      </c>
    </row>
    <row r="65" spans="1:6" x14ac:dyDescent="0.35">
      <c r="A65" s="2" t="s">
        <v>6</v>
      </c>
      <c r="B65" s="7">
        <f>_xlfn.LOGNORM.INV(B64,LN(B60),B63)</f>
        <v>4837.3936389592536</v>
      </c>
      <c r="D65" t="s">
        <v>38</v>
      </c>
      <c r="E65">
        <f>E63/E62</f>
        <v>0.54616520223400089</v>
      </c>
    </row>
    <row r="66" spans="1:6" x14ac:dyDescent="0.35">
      <c r="A66" s="2" t="s">
        <v>7</v>
      </c>
      <c r="B66">
        <f>B65/B60</f>
        <v>0.41101746987222115</v>
      </c>
      <c r="D66" t="s">
        <v>16</v>
      </c>
      <c r="E66">
        <v>79.644000000000005</v>
      </c>
      <c r="F66" t="s">
        <v>29</v>
      </c>
    </row>
    <row r="67" spans="1:6" x14ac:dyDescent="0.35">
      <c r="D67" t="s">
        <v>39</v>
      </c>
      <c r="E67">
        <f>E65*E60</f>
        <v>11769.313942940486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wilberg</dc:creator>
  <cp:lastModifiedBy>Michael Wilberg</cp:lastModifiedBy>
  <dcterms:created xsi:type="dcterms:W3CDTF">2011-07-24T12:18:25Z</dcterms:created>
  <dcterms:modified xsi:type="dcterms:W3CDTF">2022-09-14T00:01:35Z</dcterms:modified>
</cp:coreProperties>
</file>